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comments2.xml" ContentType="application/vnd.openxmlformats-officedocument.spreadsheetml.comments+xml"/>
  <Override PartName="/xl/tables/table2.xml" ContentType="application/vnd.openxmlformats-officedocument.spreadsheetml.table+xml"/>
  <Override PartName="/xl/comments3.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4.xml" ContentType="application/vnd.openxmlformats-officedocument.spreadsheetml.comments+xml"/>
  <Override PartName="/xl/tables/table6.xml" ContentType="application/vnd.openxmlformats-officedocument.spreadsheetml.table+xml"/>
  <Override PartName="/xl/tables/table7.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czavala\Downloads\"/>
    </mc:Choice>
  </mc:AlternateContent>
  <xr:revisionPtr revIDLastSave="0" documentId="13_ncr:1_{20EE12D1-ECC6-4DE6-BC28-CAC7568944FC}" xr6:coauthVersionLast="47" xr6:coauthVersionMax="47" xr10:uidLastSave="{00000000-0000-0000-0000-000000000000}"/>
  <bookViews>
    <workbookView xWindow="-120" yWindow="-120" windowWidth="29040" windowHeight="15720" tabRatio="888" xr2:uid="{00000000-000D-0000-FFFF-FFFF00000000}"/>
  </bookViews>
  <sheets>
    <sheet name="Instructions" sheetId="1" r:id="rId1"/>
    <sheet name="Team and Program Information" sheetId="2" r:id="rId2"/>
    <sheet name="Results and Rankings" sheetId="3" r:id="rId3"/>
    <sheet name="Project Input" sheetId="4" r:id="rId4"/>
    <sheet name="Engineering Design Input" sheetId="5" r:id="rId5"/>
    <sheet name="Game Scores" sheetId="6" r:id="rId6"/>
    <sheet name="Game Coopertition Award Rank" sheetId="10" r:id="rId7"/>
    <sheet name="Core Values Input" sheetId="7" r:id="rId8"/>
    <sheet name="GP Scores" sheetId="8" state="hidden" r:id="rId9"/>
  </sheets>
  <definedNames>
    <definedName name="AwardListLookup">'Team and Program Information'!$A$14:$A$23</definedName>
    <definedName name="CombinedMatchScore">'Game Coopertition Award Rank'!$I:$I</definedName>
    <definedName name="MatchTeams">'Game Coopertition Award Rank'!$C:$F</definedName>
    <definedName name="NumberOfRounds">'Team and Program Information'!$A$11</definedName>
    <definedName name="NumberOfTeams">'Team and Program Information'!$A$5</definedName>
    <definedName name="NumberofTeamsAdvancing">'Team and Program Information'!$A$8</definedName>
    <definedName name="Scor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4" l="1"/>
  <c r="B10" i="4"/>
  <c r="A11" i="3"/>
  <c r="M2" i="4"/>
  <c r="M3" i="4"/>
  <c r="M4" i="4"/>
  <c r="M5" i="4"/>
  <c r="M6" i="4"/>
  <c r="M7" i="4"/>
  <c r="M8" i="4"/>
  <c r="M9" i="4"/>
  <c r="M10" i="4"/>
  <c r="M11"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6" i="4"/>
  <c r="M167" i="4"/>
  <c r="M168" i="4"/>
  <c r="M169" i="4"/>
  <c r="M170" i="4"/>
  <c r="M171" i="4"/>
  <c r="M172" i="4"/>
  <c r="M173" i="4"/>
  <c r="M174" i="4"/>
  <c r="M175" i="4"/>
  <c r="M176" i="4"/>
  <c r="M177" i="4"/>
  <c r="M178" i="4"/>
  <c r="M179" i="4"/>
  <c r="M180" i="4"/>
  <c r="M181" i="4"/>
  <c r="M182" i="4"/>
  <c r="M183" i="4"/>
  <c r="M184" i="4"/>
  <c r="M185" i="4"/>
  <c r="M186" i="4"/>
  <c r="M187" i="4"/>
  <c r="M188" i="4"/>
  <c r="M189" i="4"/>
  <c r="M190" i="4"/>
  <c r="M191" i="4"/>
  <c r="M192" i="4"/>
  <c r="M193" i="4"/>
  <c r="M194" i="4"/>
  <c r="M195" i="4"/>
  <c r="M196" i="4"/>
  <c r="M197" i="4"/>
  <c r="M198" i="4"/>
  <c r="M199" i="4"/>
  <c r="M200" i="4"/>
  <c r="M201" i="4"/>
  <c r="J14" i="10"/>
  <c r="J15" i="10"/>
  <c r="J16" i="10"/>
  <c r="J17" i="10"/>
  <c r="J18" i="10"/>
  <c r="J19" i="10"/>
  <c r="J20" i="10"/>
  <c r="J21" i="10"/>
  <c r="J22" i="10"/>
  <c r="J23" i="10"/>
  <c r="J24" i="10"/>
  <c r="J25" i="10"/>
  <c r="J26" i="10"/>
  <c r="J27" i="10"/>
  <c r="J28" i="10"/>
  <c r="J29" i="10"/>
  <c r="J30" i="10"/>
  <c r="J31" i="10"/>
  <c r="J32" i="10"/>
  <c r="J33" i="10"/>
  <c r="J34" i="10"/>
  <c r="J35" i="10"/>
  <c r="J36" i="10"/>
  <c r="J37" i="10"/>
  <c r="J38" i="10"/>
  <c r="J39" i="10"/>
  <c r="J40" i="10"/>
  <c r="J41" i="10"/>
  <c r="J42" i="10"/>
  <c r="J43" i="10"/>
  <c r="J44" i="10"/>
  <c r="J45" i="10"/>
  <c r="J46" i="10"/>
  <c r="J47" i="10"/>
  <c r="J48" i="10"/>
  <c r="J49" i="10"/>
  <c r="J50" i="10"/>
  <c r="J51" i="10"/>
  <c r="J52" i="10"/>
  <c r="J53" i="10"/>
  <c r="J54" i="10"/>
  <c r="J55" i="10"/>
  <c r="J56" i="10"/>
  <c r="J57" i="10"/>
  <c r="J58" i="10"/>
  <c r="J59" i="10"/>
  <c r="J60" i="10"/>
  <c r="J61" i="10"/>
  <c r="J62" i="10"/>
  <c r="J63" i="10"/>
  <c r="J64" i="10"/>
  <c r="J65" i="10"/>
  <c r="J66" i="10"/>
  <c r="J67" i="10"/>
  <c r="J68" i="10"/>
  <c r="J69" i="10"/>
  <c r="J70" i="10"/>
  <c r="J71" i="10"/>
  <c r="J72" i="10"/>
  <c r="J73" i="10"/>
  <c r="J74" i="10"/>
  <c r="J75" i="10"/>
  <c r="J76" i="10"/>
  <c r="J77" i="10"/>
  <c r="J78" i="10"/>
  <c r="J79" i="10"/>
  <c r="J80" i="10"/>
  <c r="J81" i="10"/>
  <c r="J82" i="10"/>
  <c r="J83" i="10"/>
  <c r="J84" i="10"/>
  <c r="J85" i="10"/>
  <c r="J86" i="10"/>
  <c r="J87" i="10"/>
  <c r="J88" i="10"/>
  <c r="J89" i="10"/>
  <c r="J90" i="10"/>
  <c r="J91" i="10"/>
  <c r="J92" i="10"/>
  <c r="J93" i="10"/>
  <c r="J94" i="10"/>
  <c r="J95" i="10"/>
  <c r="J96" i="10"/>
  <c r="J97" i="10"/>
  <c r="J98" i="10"/>
  <c r="J99" i="10"/>
  <c r="J100" i="10"/>
  <c r="J101" i="10"/>
  <c r="J102" i="10"/>
  <c r="J103" i="10"/>
  <c r="J104" i="10"/>
  <c r="J105" i="10"/>
  <c r="J106" i="10"/>
  <c r="J107" i="10"/>
  <c r="J108" i="10"/>
  <c r="J109" i="10"/>
  <c r="J110" i="10"/>
  <c r="J111" i="10"/>
  <c r="J112" i="10"/>
  <c r="J113" i="10"/>
  <c r="J114" i="10"/>
  <c r="J115" i="10"/>
  <c r="J116" i="10"/>
  <c r="J117" i="10"/>
  <c r="J118" i="10"/>
  <c r="J119" i="10"/>
  <c r="J120" i="10"/>
  <c r="J121" i="10"/>
  <c r="J122" i="10"/>
  <c r="J123" i="10"/>
  <c r="J124" i="10"/>
  <c r="J125" i="10"/>
  <c r="J126" i="10"/>
  <c r="J127" i="10"/>
  <c r="J128" i="10"/>
  <c r="J129" i="10"/>
  <c r="J130" i="10"/>
  <c r="J131" i="10"/>
  <c r="J132" i="10"/>
  <c r="J133" i="10"/>
  <c r="J134" i="10"/>
  <c r="J135" i="10"/>
  <c r="J136" i="10"/>
  <c r="J137" i="10"/>
  <c r="J138" i="10"/>
  <c r="J139" i="10"/>
  <c r="J140" i="10"/>
  <c r="J141" i="10"/>
  <c r="J142" i="10"/>
  <c r="J143" i="10"/>
  <c r="J144" i="10"/>
  <c r="J145" i="10"/>
  <c r="J146" i="10"/>
  <c r="J147" i="10"/>
  <c r="J148" i="10"/>
  <c r="J149" i="10"/>
  <c r="J150" i="10"/>
  <c r="J151" i="10"/>
  <c r="J152" i="10"/>
  <c r="J153" i="10"/>
  <c r="J154" i="10"/>
  <c r="J155" i="10"/>
  <c r="J156" i="10"/>
  <c r="J157" i="10"/>
  <c r="J158" i="10"/>
  <c r="J159" i="10"/>
  <c r="J160" i="10"/>
  <c r="J161" i="10"/>
  <c r="J162" i="10"/>
  <c r="J163" i="10"/>
  <c r="J164" i="10"/>
  <c r="J165" i="10"/>
  <c r="J166" i="10"/>
  <c r="J167" i="10"/>
  <c r="J168" i="10"/>
  <c r="J169" i="10"/>
  <c r="J170" i="10"/>
  <c r="J171" i="10"/>
  <c r="J172" i="10"/>
  <c r="J173" i="10"/>
  <c r="J174" i="10"/>
  <c r="J175" i="10"/>
  <c r="J176" i="10"/>
  <c r="J177" i="10"/>
  <c r="J178" i="10"/>
  <c r="J179" i="10"/>
  <c r="J180" i="10"/>
  <c r="J181" i="10"/>
  <c r="J182" i="10"/>
  <c r="J183" i="10"/>
  <c r="J184" i="10"/>
  <c r="J185" i="10"/>
  <c r="J186" i="10"/>
  <c r="J187" i="10"/>
  <c r="J188" i="10"/>
  <c r="J189" i="10"/>
  <c r="J190" i="10"/>
  <c r="J191" i="10"/>
  <c r="J192" i="10"/>
  <c r="J193" i="10"/>
  <c r="J194" i="10"/>
  <c r="J195" i="10"/>
  <c r="J196" i="10"/>
  <c r="J197" i="10"/>
  <c r="J198" i="10"/>
  <c r="J199" i="10"/>
  <c r="J200" i="10"/>
  <c r="J201" i="10"/>
  <c r="J2" i="6"/>
  <c r="J3" i="6"/>
  <c r="J4" i="6"/>
  <c r="J5" i="6"/>
  <c r="J6" i="6"/>
  <c r="J7" i="6"/>
  <c r="J8" i="6"/>
  <c r="J9" i="6"/>
  <c r="J10" i="6"/>
  <c r="J11"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J84" i="6"/>
  <c r="J85" i="6"/>
  <c r="J86" i="6"/>
  <c r="J87" i="6"/>
  <c r="J88" i="6"/>
  <c r="J89" i="6"/>
  <c r="J90" i="6"/>
  <c r="J91" i="6"/>
  <c r="J92" i="6"/>
  <c r="J93" i="6"/>
  <c r="J94" i="6"/>
  <c r="J95" i="6"/>
  <c r="J96" i="6"/>
  <c r="J97" i="6"/>
  <c r="J98" i="6"/>
  <c r="J99" i="6"/>
  <c r="J100" i="6"/>
  <c r="J101" i="6"/>
  <c r="J102" i="6"/>
  <c r="J103" i="6"/>
  <c r="J104" i="6"/>
  <c r="J105" i="6"/>
  <c r="J106" i="6"/>
  <c r="J107" i="6"/>
  <c r="J108" i="6"/>
  <c r="J109" i="6"/>
  <c r="J110" i="6"/>
  <c r="J111" i="6"/>
  <c r="J112" i="6"/>
  <c r="J113" i="6"/>
  <c r="J114" i="6"/>
  <c r="J115" i="6"/>
  <c r="J116" i="6"/>
  <c r="J117" i="6"/>
  <c r="J118" i="6"/>
  <c r="J119" i="6"/>
  <c r="J120" i="6"/>
  <c r="J121" i="6"/>
  <c r="J122" i="6"/>
  <c r="J123" i="6"/>
  <c r="J124" i="6"/>
  <c r="J125" i="6"/>
  <c r="J126" i="6"/>
  <c r="J127" i="6"/>
  <c r="J128" i="6"/>
  <c r="J129" i="6"/>
  <c r="J130" i="6"/>
  <c r="J131" i="6"/>
  <c r="J132" i="6"/>
  <c r="J133" i="6"/>
  <c r="J134" i="6"/>
  <c r="J135" i="6"/>
  <c r="J136" i="6"/>
  <c r="J137" i="6"/>
  <c r="J138" i="6"/>
  <c r="J139" i="6"/>
  <c r="J140" i="6"/>
  <c r="J141" i="6"/>
  <c r="J142" i="6"/>
  <c r="J143" i="6"/>
  <c r="J144" i="6"/>
  <c r="J145" i="6"/>
  <c r="J146" i="6"/>
  <c r="J147" i="6"/>
  <c r="J148" i="6"/>
  <c r="J149" i="6"/>
  <c r="J150" i="6"/>
  <c r="J151" i="6"/>
  <c r="J152" i="6"/>
  <c r="J153" i="6"/>
  <c r="J154" i="6"/>
  <c r="J155" i="6"/>
  <c r="J156" i="6"/>
  <c r="J157" i="6"/>
  <c r="J158" i="6"/>
  <c r="J159" i="6"/>
  <c r="J160" i="6"/>
  <c r="J161" i="6"/>
  <c r="J162" i="6"/>
  <c r="J163" i="6"/>
  <c r="J164" i="6"/>
  <c r="J165" i="6"/>
  <c r="J166" i="6"/>
  <c r="J167" i="6"/>
  <c r="J168" i="6"/>
  <c r="J169" i="6"/>
  <c r="J170" i="6"/>
  <c r="J171" i="6"/>
  <c r="J172" i="6"/>
  <c r="J173" i="6"/>
  <c r="J174" i="6"/>
  <c r="J175" i="6"/>
  <c r="J176" i="6"/>
  <c r="J177" i="6"/>
  <c r="J178" i="6"/>
  <c r="J179" i="6"/>
  <c r="J180" i="6"/>
  <c r="J181" i="6"/>
  <c r="J182" i="6"/>
  <c r="J183" i="6"/>
  <c r="J184" i="6"/>
  <c r="J185" i="6"/>
  <c r="J186" i="6"/>
  <c r="J187" i="6"/>
  <c r="J188" i="6"/>
  <c r="J189" i="6"/>
  <c r="J190" i="6"/>
  <c r="J191" i="6"/>
  <c r="J192" i="6"/>
  <c r="J193" i="6"/>
  <c r="J194" i="6"/>
  <c r="J195" i="6"/>
  <c r="J196" i="6"/>
  <c r="J197" i="6"/>
  <c r="J198" i="6"/>
  <c r="J199" i="6"/>
  <c r="J200" i="6"/>
  <c r="J201"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9" i="6"/>
  <c r="B8" i="6"/>
  <c r="B7" i="6"/>
  <c r="B6" i="6"/>
  <c r="B5" i="6"/>
  <c r="B4" i="6"/>
  <c r="B3" i="6"/>
  <c r="B2" i="6"/>
  <c r="M110" i="5"/>
  <c r="M111" i="5"/>
  <c r="M112" i="5"/>
  <c r="M113" i="5"/>
  <c r="M114" i="5"/>
  <c r="M115" i="5"/>
  <c r="M116" i="5"/>
  <c r="M117" i="5"/>
  <c r="M118" i="5"/>
  <c r="M119" i="5"/>
  <c r="M120" i="5"/>
  <c r="M121" i="5"/>
  <c r="M122" i="5"/>
  <c r="M123" i="5"/>
  <c r="M124" i="5"/>
  <c r="M125" i="5"/>
  <c r="M126" i="5"/>
  <c r="M127" i="5"/>
  <c r="M128" i="5"/>
  <c r="M129" i="5"/>
  <c r="M130" i="5"/>
  <c r="M131" i="5"/>
  <c r="M132" i="5"/>
  <c r="M133" i="5"/>
  <c r="M134" i="5"/>
  <c r="M135" i="5"/>
  <c r="M136" i="5"/>
  <c r="M137" i="5"/>
  <c r="M138" i="5"/>
  <c r="M139" i="5"/>
  <c r="M140" i="5"/>
  <c r="M141" i="5"/>
  <c r="M142" i="5"/>
  <c r="M143" i="5"/>
  <c r="M144" i="5"/>
  <c r="M145" i="5"/>
  <c r="M146" i="5"/>
  <c r="M147" i="5"/>
  <c r="M148" i="5"/>
  <c r="M149" i="5"/>
  <c r="M150" i="5"/>
  <c r="M151" i="5"/>
  <c r="M152" i="5"/>
  <c r="M153" i="5"/>
  <c r="M154" i="5"/>
  <c r="M155" i="5"/>
  <c r="M156" i="5"/>
  <c r="M157" i="5"/>
  <c r="M158" i="5"/>
  <c r="M159" i="5"/>
  <c r="M160" i="5"/>
  <c r="M161" i="5"/>
  <c r="M162" i="5"/>
  <c r="M163" i="5"/>
  <c r="M164" i="5"/>
  <c r="M165" i="5"/>
  <c r="M166" i="5"/>
  <c r="M167" i="5"/>
  <c r="M168" i="5"/>
  <c r="M169" i="5"/>
  <c r="M170" i="5"/>
  <c r="M171" i="5"/>
  <c r="M172" i="5"/>
  <c r="M173" i="5"/>
  <c r="M174" i="5"/>
  <c r="M175" i="5"/>
  <c r="M176" i="5"/>
  <c r="M177" i="5"/>
  <c r="M178" i="5"/>
  <c r="M179" i="5"/>
  <c r="M180" i="5"/>
  <c r="M181" i="5"/>
  <c r="M182" i="5"/>
  <c r="M183" i="5"/>
  <c r="M184" i="5"/>
  <c r="M185" i="5"/>
  <c r="M186" i="5"/>
  <c r="M187" i="5"/>
  <c r="M188" i="5"/>
  <c r="M189" i="5"/>
  <c r="M190" i="5"/>
  <c r="M191" i="5"/>
  <c r="M192" i="5"/>
  <c r="M193" i="5"/>
  <c r="M194" i="5"/>
  <c r="M195" i="5"/>
  <c r="M196" i="5"/>
  <c r="M197" i="5"/>
  <c r="M198" i="5"/>
  <c r="M199" i="5"/>
  <c r="M200" i="5"/>
  <c r="M201" i="5"/>
  <c r="G4" i="10" l="1"/>
  <c r="I4" i="10" s="1"/>
  <c r="G6" i="10"/>
  <c r="I6" i="10" s="1"/>
  <c r="G9" i="10"/>
  <c r="I9" i="10" s="1"/>
  <c r="G12" i="10"/>
  <c r="H7" i="10"/>
  <c r="G2" i="10"/>
  <c r="I2" i="10" s="1"/>
  <c r="G13" i="10"/>
  <c r="H5" i="10"/>
  <c r="H8" i="10"/>
  <c r="H2" i="10"/>
  <c r="G3" i="10"/>
  <c r="I3" i="10" s="1"/>
  <c r="G5" i="10"/>
  <c r="I5" i="10" s="1"/>
  <c r="G7" i="10"/>
  <c r="I7" i="10" s="1"/>
  <c r="G8" i="10"/>
  <c r="I8" i="10" s="1"/>
  <c r="G10" i="10"/>
  <c r="G11" i="10"/>
  <c r="H3" i="10"/>
  <c r="H4" i="10"/>
  <c r="H6" i="10"/>
  <c r="H9" i="10"/>
  <c r="C11" i="3"/>
  <c r="A3" i="3" l="1"/>
  <c r="A202" i="3"/>
  <c r="A201" i="3"/>
  <c r="A200" i="3"/>
  <c r="A199" i="3"/>
  <c r="A198" i="3"/>
  <c r="A197" i="3"/>
  <c r="A196" i="3"/>
  <c r="A195" i="3"/>
  <c r="A194" i="3"/>
  <c r="A193" i="3"/>
  <c r="A192" i="3"/>
  <c r="A191" i="3"/>
  <c r="A190" i="3"/>
  <c r="A189" i="3"/>
  <c r="A188" i="3"/>
  <c r="A187" i="3"/>
  <c r="A186" i="3"/>
  <c r="A185" i="3"/>
  <c r="A184" i="3"/>
  <c r="A183" i="3"/>
  <c r="A182" i="3"/>
  <c r="A181" i="3"/>
  <c r="A180" i="3"/>
  <c r="A179" i="3"/>
  <c r="A178" i="3"/>
  <c r="A177" i="3"/>
  <c r="A176" i="3"/>
  <c r="A175" i="3"/>
  <c r="A174" i="3"/>
  <c r="A173" i="3"/>
  <c r="A172" i="3"/>
  <c r="A171" i="3"/>
  <c r="A170" i="3"/>
  <c r="A169" i="3"/>
  <c r="A168" i="3"/>
  <c r="A167" i="3"/>
  <c r="A166" i="3"/>
  <c r="A165" i="3"/>
  <c r="A164" i="3"/>
  <c r="A163" i="3"/>
  <c r="A162" i="3"/>
  <c r="A161" i="3"/>
  <c r="A160" i="3"/>
  <c r="A159" i="3"/>
  <c r="A158" i="3"/>
  <c r="A157" i="3"/>
  <c r="A156" i="3"/>
  <c r="A155" i="3"/>
  <c r="A154" i="3"/>
  <c r="A153" i="3"/>
  <c r="A152" i="3"/>
  <c r="A151" i="3"/>
  <c r="A150" i="3"/>
  <c r="A149" i="3"/>
  <c r="A148" i="3"/>
  <c r="A147" i="3"/>
  <c r="A146" i="3"/>
  <c r="A145" i="3"/>
  <c r="A144" i="3"/>
  <c r="A143" i="3"/>
  <c r="A142" i="3"/>
  <c r="A141" i="3"/>
  <c r="A140" i="3"/>
  <c r="A139" i="3"/>
  <c r="A138" i="3"/>
  <c r="A137" i="3"/>
  <c r="A136" i="3"/>
  <c r="A135" i="3"/>
  <c r="A134" i="3"/>
  <c r="A133" i="3"/>
  <c r="A132" i="3"/>
  <c r="A131" i="3"/>
  <c r="A130" i="3"/>
  <c r="A129" i="3"/>
  <c r="A128" i="3"/>
  <c r="A127" i="3"/>
  <c r="A126" i="3"/>
  <c r="A125" i="3"/>
  <c r="A124" i="3"/>
  <c r="A123" i="3"/>
  <c r="A122" i="3"/>
  <c r="A121" i="3"/>
  <c r="A120" i="3"/>
  <c r="A119" i="3"/>
  <c r="A118" i="3"/>
  <c r="A117" i="3"/>
  <c r="A116" i="3"/>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G11" i="3"/>
  <c r="A10" i="3"/>
  <c r="A9" i="3"/>
  <c r="A8" i="3"/>
  <c r="A7" i="3"/>
  <c r="A6" i="3"/>
  <c r="A5" i="3"/>
  <c r="A4" i="3"/>
  <c r="Q2" i="7"/>
  <c r="Q3" i="7"/>
  <c r="Q4" i="7"/>
  <c r="Q5" i="7"/>
  <c r="Q6" i="7"/>
  <c r="Q7" i="7"/>
  <c r="Q8" i="7"/>
  <c r="Q9" i="7"/>
  <c r="Q10" i="7"/>
  <c r="Q11" i="7"/>
  <c r="Q12" i="7"/>
  <c r="Q13" i="7"/>
  <c r="Q14" i="7"/>
  <c r="Q15" i="7"/>
  <c r="Q16" i="7"/>
  <c r="Q17" i="7"/>
  <c r="Q18" i="7"/>
  <c r="Q19" i="7"/>
  <c r="Q20" i="7"/>
  <c r="Q21" i="7"/>
  <c r="Q22" i="7"/>
  <c r="Q23" i="7"/>
  <c r="Q24" i="7"/>
  <c r="Q25" i="7"/>
  <c r="Q26" i="7"/>
  <c r="Q27" i="7"/>
  <c r="Q28" i="7"/>
  <c r="Q29" i="7"/>
  <c r="Q30" i="7"/>
  <c r="Q31" i="7"/>
  <c r="Q32" i="7"/>
  <c r="Q33" i="7"/>
  <c r="Q34" i="7"/>
  <c r="Q35" i="7"/>
  <c r="Q36" i="7"/>
  <c r="Q37" i="7"/>
  <c r="Q38" i="7"/>
  <c r="Q39" i="7"/>
  <c r="Q40" i="7"/>
  <c r="Q41" i="7"/>
  <c r="Q42" i="7"/>
  <c r="Q43" i="7"/>
  <c r="Q44" i="7"/>
  <c r="Q45" i="7"/>
  <c r="Q46" i="7"/>
  <c r="Q47" i="7"/>
  <c r="Q48" i="7"/>
  <c r="Q49" i="7"/>
  <c r="Q50" i="7"/>
  <c r="Q51" i="7"/>
  <c r="Q52" i="7"/>
  <c r="Q53" i="7"/>
  <c r="Q54" i="7"/>
  <c r="Q55" i="7"/>
  <c r="Q56" i="7"/>
  <c r="Q57" i="7"/>
  <c r="Q58" i="7"/>
  <c r="Q59" i="7"/>
  <c r="Q60" i="7"/>
  <c r="Q61" i="7"/>
  <c r="Q62" i="7"/>
  <c r="Q63" i="7"/>
  <c r="Q64" i="7"/>
  <c r="Q65" i="7"/>
  <c r="Q66" i="7"/>
  <c r="Q67" i="7"/>
  <c r="Q68" i="7"/>
  <c r="Q69" i="7"/>
  <c r="Q70" i="7"/>
  <c r="Q71" i="7"/>
  <c r="S71" i="7" s="1"/>
  <c r="Q72" i="7"/>
  <c r="Q162" i="7"/>
  <c r="Q163" i="7"/>
  <c r="Q164" i="7"/>
  <c r="Q165" i="7"/>
  <c r="Q166" i="7"/>
  <c r="Q167" i="7"/>
  <c r="Q168" i="7"/>
  <c r="Q169" i="7"/>
  <c r="Q170" i="7"/>
  <c r="Q171" i="7"/>
  <c r="Q172" i="7"/>
  <c r="Q173" i="7"/>
  <c r="Q174" i="7"/>
  <c r="Q175" i="7"/>
  <c r="Q176" i="7"/>
  <c r="Q177" i="7"/>
  <c r="Q178" i="7"/>
  <c r="Q179" i="7"/>
  <c r="Q180" i="7"/>
  <c r="Q181" i="7"/>
  <c r="Q182" i="7"/>
  <c r="Q183" i="7"/>
  <c r="Q184" i="7"/>
  <c r="Q185" i="7"/>
  <c r="Q186" i="7"/>
  <c r="Q187" i="7"/>
  <c r="Q188" i="7"/>
  <c r="Q189" i="7"/>
  <c r="Q190" i="7"/>
  <c r="Q191" i="7"/>
  <c r="Q192" i="7"/>
  <c r="Q193" i="7"/>
  <c r="Q194" i="7"/>
  <c r="Q195" i="7"/>
  <c r="Q196" i="7"/>
  <c r="Q197" i="7"/>
  <c r="Q198" i="7"/>
  <c r="Q199" i="7"/>
  <c r="Q200" i="7"/>
  <c r="Q201" i="7"/>
  <c r="A201" i="7"/>
  <c r="A200" i="7"/>
  <c r="A199" i="7"/>
  <c r="A198" i="7"/>
  <c r="A197" i="7"/>
  <c r="A196" i="7"/>
  <c r="A195" i="7"/>
  <c r="A194" i="7"/>
  <c r="A193" i="7"/>
  <c r="A192" i="7"/>
  <c r="A191" i="7"/>
  <c r="A190" i="7"/>
  <c r="A189" i="7"/>
  <c r="A188" i="7"/>
  <c r="A187" i="7"/>
  <c r="A186" i="7"/>
  <c r="A185" i="7"/>
  <c r="A184" i="7"/>
  <c r="A183" i="7"/>
  <c r="A182" i="7"/>
  <c r="A181" i="7"/>
  <c r="A180" i="7"/>
  <c r="A179" i="7"/>
  <c r="A178" i="7"/>
  <c r="A177" i="7"/>
  <c r="A176" i="7"/>
  <c r="A175" i="7"/>
  <c r="A174" i="7"/>
  <c r="A173" i="7"/>
  <c r="A172" i="7"/>
  <c r="A171" i="7"/>
  <c r="A170" i="7"/>
  <c r="A169" i="7"/>
  <c r="A168" i="7"/>
  <c r="A167" i="7"/>
  <c r="A166" i="7"/>
  <c r="A165" i="7"/>
  <c r="A164" i="7"/>
  <c r="A163" i="7"/>
  <c r="A162" i="7"/>
  <c r="A161" i="7"/>
  <c r="A160" i="7"/>
  <c r="A159" i="7"/>
  <c r="A158" i="7"/>
  <c r="A157" i="7"/>
  <c r="A156" i="7"/>
  <c r="A155" i="7"/>
  <c r="A154" i="7"/>
  <c r="A153" i="7"/>
  <c r="A152" i="7"/>
  <c r="A151" i="7"/>
  <c r="A150" i="7"/>
  <c r="A149" i="7"/>
  <c r="A148" i="7"/>
  <c r="A147" i="7"/>
  <c r="A146" i="7"/>
  <c r="A145" i="7"/>
  <c r="A144" i="7"/>
  <c r="A143" i="7"/>
  <c r="A142" i="7"/>
  <c r="A141" i="7"/>
  <c r="A140" i="7"/>
  <c r="A139" i="7"/>
  <c r="A138" i="7"/>
  <c r="A137" i="7"/>
  <c r="A136" i="7"/>
  <c r="A135" i="7"/>
  <c r="A134" i="7"/>
  <c r="A133" i="7"/>
  <c r="A132" i="7"/>
  <c r="A131" i="7"/>
  <c r="A130" i="7"/>
  <c r="A129" i="7"/>
  <c r="A128" i="7"/>
  <c r="A127" i="7"/>
  <c r="A126" i="7"/>
  <c r="A125" i="7"/>
  <c r="A124" i="7"/>
  <c r="A123" i="7"/>
  <c r="A122" i="7"/>
  <c r="A121" i="7"/>
  <c r="A120" i="7"/>
  <c r="A119" i="7"/>
  <c r="A118" i="7"/>
  <c r="A117" i="7"/>
  <c r="A116" i="7"/>
  <c r="A115" i="7"/>
  <c r="A114" i="7"/>
  <c r="A113" i="7"/>
  <c r="A112" i="7"/>
  <c r="A111" i="7"/>
  <c r="A110" i="7"/>
  <c r="A109" i="7"/>
  <c r="A108" i="7"/>
  <c r="A107" i="7"/>
  <c r="A106" i="7"/>
  <c r="A105" i="7"/>
  <c r="A104" i="7"/>
  <c r="A103" i="7"/>
  <c r="A102" i="7"/>
  <c r="A101" i="7"/>
  <c r="A100" i="7"/>
  <c r="A99" i="7"/>
  <c r="A98" i="7"/>
  <c r="A97" i="7"/>
  <c r="A96" i="7"/>
  <c r="A95" i="7"/>
  <c r="A94" i="7"/>
  <c r="A93" i="7"/>
  <c r="A92" i="7"/>
  <c r="A91" i="7"/>
  <c r="A90" i="7"/>
  <c r="A89" i="7"/>
  <c r="A88" i="7"/>
  <c r="A87" i="7"/>
  <c r="A86" i="7"/>
  <c r="A85" i="7"/>
  <c r="A84" i="7"/>
  <c r="A83" i="7"/>
  <c r="A82" i="7"/>
  <c r="A81" i="7"/>
  <c r="A80" i="7"/>
  <c r="A79" i="7"/>
  <c r="A78" i="7"/>
  <c r="A77" i="7"/>
  <c r="A76" i="7"/>
  <c r="A75" i="7"/>
  <c r="A74" i="7"/>
  <c r="A73" i="7"/>
  <c r="A72" i="7"/>
  <c r="A71" i="7"/>
  <c r="A70" i="7"/>
  <c r="A69" i="7"/>
  <c r="A68" i="7"/>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3" i="7"/>
  <c r="A22" i="7"/>
  <c r="A21" i="7"/>
  <c r="A20" i="7"/>
  <c r="A19" i="7"/>
  <c r="A18" i="7"/>
  <c r="A17" i="7"/>
  <c r="A16" i="7"/>
  <c r="A15" i="7"/>
  <c r="A14" i="7"/>
  <c r="A13" i="7"/>
  <c r="A12" i="7"/>
  <c r="A11" i="7"/>
  <c r="A10" i="7"/>
  <c r="A9" i="7"/>
  <c r="A8" i="7"/>
  <c r="A7" i="7"/>
  <c r="A6" i="7"/>
  <c r="A5" i="7"/>
  <c r="A4" i="7"/>
  <c r="A3" i="7"/>
  <c r="A2" i="7"/>
  <c r="R201" i="7"/>
  <c r="R200" i="7"/>
  <c r="R199" i="7"/>
  <c r="R198" i="7"/>
  <c r="R197" i="7"/>
  <c r="R196" i="7"/>
  <c r="R195" i="7"/>
  <c r="R194" i="7"/>
  <c r="R193" i="7"/>
  <c r="R192" i="7"/>
  <c r="R191" i="7"/>
  <c r="R190" i="7"/>
  <c r="R189" i="7"/>
  <c r="R188" i="7"/>
  <c r="R187" i="7"/>
  <c r="R186" i="7"/>
  <c r="R185" i="7"/>
  <c r="R184" i="7"/>
  <c r="R183" i="7"/>
  <c r="R182" i="7"/>
  <c r="R181" i="7"/>
  <c r="R180" i="7"/>
  <c r="R179" i="7"/>
  <c r="R178" i="7"/>
  <c r="R177" i="7"/>
  <c r="R176" i="7"/>
  <c r="R175" i="7"/>
  <c r="R174" i="7"/>
  <c r="R173" i="7"/>
  <c r="R172" i="7"/>
  <c r="R171" i="7"/>
  <c r="R170" i="7"/>
  <c r="R169" i="7"/>
  <c r="R168" i="7"/>
  <c r="R167" i="7"/>
  <c r="R166" i="7"/>
  <c r="R165" i="7"/>
  <c r="R164" i="7"/>
  <c r="R163" i="7"/>
  <c r="R162" i="7"/>
  <c r="R72" i="7"/>
  <c r="R71" i="7"/>
  <c r="R70" i="7"/>
  <c r="R69" i="7"/>
  <c r="R68" i="7"/>
  <c r="R67" i="7"/>
  <c r="R66" i="7"/>
  <c r="R65" i="7"/>
  <c r="R64" i="7"/>
  <c r="R63" i="7"/>
  <c r="R62" i="7"/>
  <c r="R61" i="7"/>
  <c r="R60" i="7"/>
  <c r="R59" i="7"/>
  <c r="R58" i="7"/>
  <c r="R57" i="7"/>
  <c r="R56" i="7"/>
  <c r="R55" i="7"/>
  <c r="R54" i="7"/>
  <c r="R53" i="7"/>
  <c r="R52" i="7"/>
  <c r="R51" i="7"/>
  <c r="R50" i="7"/>
  <c r="R49" i="7"/>
  <c r="R48" i="7"/>
  <c r="R47" i="7"/>
  <c r="R46" i="7"/>
  <c r="R45" i="7"/>
  <c r="R44" i="7"/>
  <c r="R43" i="7"/>
  <c r="R42" i="7"/>
  <c r="R41" i="7"/>
  <c r="R40" i="7"/>
  <c r="R39" i="7"/>
  <c r="R38" i="7"/>
  <c r="R37" i="7"/>
  <c r="R36" i="7"/>
  <c r="R35" i="7"/>
  <c r="R34" i="7"/>
  <c r="R33" i="7"/>
  <c r="R32" i="7"/>
  <c r="R31" i="7"/>
  <c r="R30" i="7"/>
  <c r="R29" i="7"/>
  <c r="R28" i="7"/>
  <c r="R27" i="7"/>
  <c r="R26" i="7"/>
  <c r="R25" i="7"/>
  <c r="R24" i="7"/>
  <c r="R23" i="7"/>
  <c r="R22" i="7"/>
  <c r="R21" i="7"/>
  <c r="R20" i="7"/>
  <c r="R19" i="7"/>
  <c r="R18" i="7"/>
  <c r="R17" i="7"/>
  <c r="R16" i="7"/>
  <c r="R15" i="7"/>
  <c r="R14" i="7"/>
  <c r="R13" i="7"/>
  <c r="R12" i="7"/>
  <c r="R11" i="7"/>
  <c r="R10" i="7"/>
  <c r="R9" i="7"/>
  <c r="R8" i="7"/>
  <c r="R7" i="7"/>
  <c r="R6" i="7"/>
  <c r="R5" i="7"/>
  <c r="R4" i="7"/>
  <c r="R3" i="7"/>
  <c r="R2" i="7"/>
  <c r="A201" i="5"/>
  <c r="A200" i="5"/>
  <c r="C200" i="6" s="1"/>
  <c r="A199" i="5"/>
  <c r="C199" i="6" s="1"/>
  <c r="A198" i="5"/>
  <c r="A197" i="5"/>
  <c r="C197" i="6" s="1"/>
  <c r="A196" i="5"/>
  <c r="C196" i="6" s="1"/>
  <c r="A195" i="5"/>
  <c r="A194" i="5"/>
  <c r="A193" i="5"/>
  <c r="A192" i="5"/>
  <c r="A191" i="5"/>
  <c r="A190" i="5"/>
  <c r="A189" i="5"/>
  <c r="A188" i="5"/>
  <c r="A187" i="5"/>
  <c r="A186" i="5"/>
  <c r="C186" i="6" s="1"/>
  <c r="A185" i="5"/>
  <c r="A184" i="5"/>
  <c r="C184" i="6" s="1"/>
  <c r="A183" i="5"/>
  <c r="A182" i="5"/>
  <c r="A181" i="5"/>
  <c r="A180" i="5"/>
  <c r="A179" i="5"/>
  <c r="C179" i="6" s="1"/>
  <c r="A178" i="5"/>
  <c r="A177" i="5"/>
  <c r="A176" i="5"/>
  <c r="A175" i="5"/>
  <c r="C175" i="6" s="1"/>
  <c r="A174" i="5"/>
  <c r="C174" i="6" s="1"/>
  <c r="A173" i="5"/>
  <c r="C173" i="6" s="1"/>
  <c r="A172" i="5"/>
  <c r="A171" i="5"/>
  <c r="A170" i="5"/>
  <c r="A169" i="5"/>
  <c r="A168" i="5"/>
  <c r="C168" i="6" s="1"/>
  <c r="A167" i="5"/>
  <c r="A166" i="5"/>
  <c r="A165" i="5"/>
  <c r="A164" i="5"/>
  <c r="A163" i="5"/>
  <c r="A162" i="5"/>
  <c r="C162" i="6" s="1"/>
  <c r="A161" i="5"/>
  <c r="A160" i="5"/>
  <c r="A159" i="5"/>
  <c r="A158" i="5"/>
  <c r="A157" i="5"/>
  <c r="A156" i="5"/>
  <c r="A155" i="5"/>
  <c r="A154" i="5"/>
  <c r="A153" i="5"/>
  <c r="A152" i="5"/>
  <c r="A151" i="5"/>
  <c r="A150" i="5"/>
  <c r="A149" i="5"/>
  <c r="A148" i="5"/>
  <c r="A147" i="5"/>
  <c r="A146" i="5"/>
  <c r="A145" i="5"/>
  <c r="A144" i="5"/>
  <c r="A143" i="5"/>
  <c r="A142" i="5"/>
  <c r="A141" i="5"/>
  <c r="A140" i="5"/>
  <c r="A139" i="5"/>
  <c r="A138" i="5"/>
  <c r="A137" i="5"/>
  <c r="A136" i="5"/>
  <c r="A135" i="5"/>
  <c r="A134" i="5"/>
  <c r="A133" i="5"/>
  <c r="A132" i="5"/>
  <c r="A131" i="5"/>
  <c r="A130" i="5"/>
  <c r="A129" i="5"/>
  <c r="A128" i="5"/>
  <c r="A127" i="5"/>
  <c r="A126" i="5"/>
  <c r="A125" i="5"/>
  <c r="A124" i="5"/>
  <c r="A123" i="5"/>
  <c r="A122" i="5"/>
  <c r="A121" i="5"/>
  <c r="A120" i="5"/>
  <c r="A119" i="5"/>
  <c r="A118" i="5"/>
  <c r="A117" i="5"/>
  <c r="A116" i="5"/>
  <c r="A115" i="5"/>
  <c r="A114" i="5"/>
  <c r="A113" i="5"/>
  <c r="A112" i="5"/>
  <c r="A111" i="5"/>
  <c r="A110" i="5"/>
  <c r="A109" i="5"/>
  <c r="A108" i="5"/>
  <c r="A107" i="5"/>
  <c r="A106" i="5"/>
  <c r="A105" i="5"/>
  <c r="A104" i="5"/>
  <c r="A103" i="5"/>
  <c r="A102" i="5"/>
  <c r="A101" i="5"/>
  <c r="A100" i="5"/>
  <c r="A99" i="5"/>
  <c r="A98" i="5"/>
  <c r="A97" i="5"/>
  <c r="A96" i="5"/>
  <c r="A95" i="5"/>
  <c r="A94" i="5"/>
  <c r="A93" i="5"/>
  <c r="A92" i="5"/>
  <c r="A91" i="5"/>
  <c r="A90" i="5"/>
  <c r="A89" i="5"/>
  <c r="A88" i="5"/>
  <c r="A87" i="5"/>
  <c r="A86" i="5"/>
  <c r="A85" i="5"/>
  <c r="A84" i="5"/>
  <c r="A83" i="5"/>
  <c r="A82" i="5"/>
  <c r="A81" i="5"/>
  <c r="A80" i="5"/>
  <c r="A79" i="5"/>
  <c r="A78" i="5"/>
  <c r="A77" i="5"/>
  <c r="A76" i="5"/>
  <c r="A75" i="5"/>
  <c r="A74" i="5"/>
  <c r="A73" i="5"/>
  <c r="A72" i="5"/>
  <c r="A71" i="5"/>
  <c r="A70" i="5"/>
  <c r="A69" i="5"/>
  <c r="A68" i="5"/>
  <c r="A67" i="5"/>
  <c r="A66" i="5"/>
  <c r="A65" i="5"/>
  <c r="A64" i="5"/>
  <c r="A63" i="5"/>
  <c r="A62" i="5"/>
  <c r="A61" i="5"/>
  <c r="A60" i="5"/>
  <c r="A59" i="5"/>
  <c r="A58" i="5"/>
  <c r="A57" i="5"/>
  <c r="A56" i="5"/>
  <c r="A55" i="5"/>
  <c r="A54" i="5"/>
  <c r="A53" i="5"/>
  <c r="A52" i="5"/>
  <c r="A51" i="5"/>
  <c r="A50" i="5"/>
  <c r="A49" i="5"/>
  <c r="A48" i="5"/>
  <c r="A47" i="5"/>
  <c r="A46" i="5"/>
  <c r="A45" i="5"/>
  <c r="A44" i="5"/>
  <c r="A43" i="5"/>
  <c r="A42" i="5"/>
  <c r="A41" i="5"/>
  <c r="A40" i="5"/>
  <c r="A39" i="5"/>
  <c r="A38" i="5"/>
  <c r="A37" i="5"/>
  <c r="A36" i="5"/>
  <c r="A35" i="5"/>
  <c r="A34" i="5"/>
  <c r="A33" i="5"/>
  <c r="A32" i="5"/>
  <c r="A31" i="5"/>
  <c r="A30" i="5"/>
  <c r="A29" i="5"/>
  <c r="A28" i="5"/>
  <c r="A27" i="5"/>
  <c r="A26" i="5"/>
  <c r="A25" i="5"/>
  <c r="A24" i="5"/>
  <c r="A23" i="5"/>
  <c r="A22" i="5"/>
  <c r="A21" i="5"/>
  <c r="A20" i="5"/>
  <c r="A19" i="5"/>
  <c r="A18" i="5"/>
  <c r="A17" i="5"/>
  <c r="A16" i="5"/>
  <c r="A15" i="5"/>
  <c r="A14" i="5"/>
  <c r="A13" i="5"/>
  <c r="A12" i="5"/>
  <c r="C12" i="6" s="1"/>
  <c r="A11" i="5"/>
  <c r="A10" i="5"/>
  <c r="A9" i="5"/>
  <c r="A8" i="5"/>
  <c r="A7" i="5"/>
  <c r="A6" i="5"/>
  <c r="A5" i="5"/>
  <c r="A4" i="5"/>
  <c r="A3" i="5"/>
  <c r="A2" i="5"/>
  <c r="C2" i="6" s="1"/>
  <c r="M109" i="5"/>
  <c r="M108" i="5"/>
  <c r="M107" i="5"/>
  <c r="M106" i="5"/>
  <c r="M105" i="5"/>
  <c r="M104" i="5"/>
  <c r="M103" i="5"/>
  <c r="M102" i="5"/>
  <c r="M101" i="5"/>
  <c r="M100" i="5"/>
  <c r="M99" i="5"/>
  <c r="M98" i="5"/>
  <c r="M97" i="5"/>
  <c r="M96" i="5"/>
  <c r="M95" i="5"/>
  <c r="M94" i="5"/>
  <c r="M93" i="5"/>
  <c r="M92" i="5"/>
  <c r="M91" i="5"/>
  <c r="M90" i="5"/>
  <c r="M89" i="5"/>
  <c r="M88" i="5"/>
  <c r="M87" i="5"/>
  <c r="M86" i="5"/>
  <c r="M85" i="5"/>
  <c r="M84" i="5"/>
  <c r="M83" i="5"/>
  <c r="M82" i="5"/>
  <c r="M81" i="5"/>
  <c r="M80" i="5"/>
  <c r="M79" i="5"/>
  <c r="M78" i="5"/>
  <c r="M77" i="5"/>
  <c r="M76" i="5"/>
  <c r="M75" i="5"/>
  <c r="M74" i="5"/>
  <c r="M73" i="5"/>
  <c r="M72" i="5"/>
  <c r="M71" i="5"/>
  <c r="M70" i="5"/>
  <c r="M69" i="5"/>
  <c r="M68" i="5"/>
  <c r="M67" i="5"/>
  <c r="M66" i="5"/>
  <c r="M65" i="5"/>
  <c r="M64" i="5"/>
  <c r="M63" i="5"/>
  <c r="M62" i="5"/>
  <c r="M61" i="5"/>
  <c r="M60" i="5"/>
  <c r="M59" i="5"/>
  <c r="M58" i="5"/>
  <c r="M57" i="5"/>
  <c r="M56" i="5"/>
  <c r="M55" i="5"/>
  <c r="M54" i="5"/>
  <c r="M53" i="5"/>
  <c r="M52" i="5"/>
  <c r="M51" i="5"/>
  <c r="M50" i="5"/>
  <c r="M49" i="5"/>
  <c r="M48" i="5"/>
  <c r="M47" i="5"/>
  <c r="M46" i="5"/>
  <c r="M45" i="5"/>
  <c r="M44" i="5"/>
  <c r="M43" i="5"/>
  <c r="M42" i="5"/>
  <c r="M41" i="5"/>
  <c r="M40" i="5"/>
  <c r="M39" i="5"/>
  <c r="M38" i="5"/>
  <c r="M37" i="5"/>
  <c r="M36" i="5"/>
  <c r="M35" i="5"/>
  <c r="M34" i="5"/>
  <c r="M33" i="5"/>
  <c r="M32" i="5"/>
  <c r="M31" i="5"/>
  <c r="M30" i="5"/>
  <c r="M29" i="5"/>
  <c r="M28" i="5"/>
  <c r="M27" i="5"/>
  <c r="M26" i="5"/>
  <c r="M25" i="5"/>
  <c r="M24" i="5"/>
  <c r="M23" i="5"/>
  <c r="M22" i="5"/>
  <c r="M21" i="5"/>
  <c r="M20" i="5"/>
  <c r="M19" i="5"/>
  <c r="M18" i="5"/>
  <c r="M17" i="5"/>
  <c r="M16" i="5"/>
  <c r="M15" i="5"/>
  <c r="M14" i="5"/>
  <c r="M13" i="5"/>
  <c r="M12" i="5"/>
  <c r="M11" i="5"/>
  <c r="M10" i="5"/>
  <c r="M9" i="5"/>
  <c r="M8" i="5"/>
  <c r="M7" i="5"/>
  <c r="M6" i="5"/>
  <c r="M5" i="5"/>
  <c r="M4" i="5"/>
  <c r="M3" i="5"/>
  <c r="M2" i="5"/>
  <c r="J199" i="7" l="1"/>
  <c r="J197" i="7"/>
  <c r="J195" i="7"/>
  <c r="J193" i="7"/>
  <c r="J191" i="7"/>
  <c r="J189" i="7"/>
  <c r="J187" i="7"/>
  <c r="J185" i="7"/>
  <c r="J183" i="7"/>
  <c r="J201" i="7"/>
  <c r="J200" i="7"/>
  <c r="J198" i="7"/>
  <c r="J196" i="7"/>
  <c r="J194" i="7"/>
  <c r="J192" i="7"/>
  <c r="J190" i="7"/>
  <c r="J188" i="7"/>
  <c r="J186" i="7"/>
  <c r="J184" i="7"/>
  <c r="J182" i="7"/>
  <c r="J155" i="7"/>
  <c r="J154" i="7"/>
  <c r="J153" i="7"/>
  <c r="J152" i="7"/>
  <c r="J151" i="7"/>
  <c r="J150" i="7"/>
  <c r="J149" i="7"/>
  <c r="J148" i="7"/>
  <c r="J147" i="7"/>
  <c r="J146"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1" i="7"/>
  <c r="J10" i="7"/>
  <c r="J9" i="7"/>
  <c r="J8" i="7"/>
  <c r="J7" i="7"/>
  <c r="J6" i="7"/>
  <c r="J5" i="7"/>
  <c r="J4" i="7"/>
  <c r="J3" i="7"/>
  <c r="J2" i="7"/>
  <c r="I201" i="7"/>
  <c r="H201" i="7"/>
  <c r="I200" i="7"/>
  <c r="H200" i="7"/>
  <c r="I199" i="7"/>
  <c r="H199" i="7"/>
  <c r="H198" i="7"/>
  <c r="I198" i="7"/>
  <c r="H197" i="7"/>
  <c r="I197" i="7"/>
  <c r="I196" i="7"/>
  <c r="H196" i="7"/>
  <c r="H195" i="7"/>
  <c r="I195" i="7"/>
  <c r="H194" i="7"/>
  <c r="I194" i="7"/>
  <c r="H193" i="7"/>
  <c r="I193" i="7"/>
  <c r="H192" i="7"/>
  <c r="I192" i="7"/>
  <c r="I191" i="7"/>
  <c r="H191" i="7"/>
  <c r="H190" i="7"/>
  <c r="I190" i="7"/>
  <c r="I189" i="7"/>
  <c r="H189" i="7"/>
  <c r="H188" i="7"/>
  <c r="I188" i="7"/>
  <c r="I187" i="7"/>
  <c r="H187" i="7"/>
  <c r="I186" i="7"/>
  <c r="H186" i="7"/>
  <c r="I185" i="7"/>
  <c r="H185" i="7"/>
  <c r="I184" i="7"/>
  <c r="H184" i="7"/>
  <c r="H183" i="7"/>
  <c r="I183" i="7"/>
  <c r="I182" i="7"/>
  <c r="H182" i="7"/>
  <c r="J181" i="7"/>
  <c r="I181" i="7"/>
  <c r="H181" i="7"/>
  <c r="J180" i="7"/>
  <c r="I180" i="7"/>
  <c r="H180" i="7"/>
  <c r="J179" i="7"/>
  <c r="I179" i="7"/>
  <c r="H179" i="7"/>
  <c r="J178" i="7"/>
  <c r="I178" i="7"/>
  <c r="H178" i="7"/>
  <c r="J177" i="7"/>
  <c r="H177" i="7"/>
  <c r="I177" i="7"/>
  <c r="J176" i="7"/>
  <c r="I176" i="7"/>
  <c r="H176" i="7"/>
  <c r="J175" i="7"/>
  <c r="I175" i="7"/>
  <c r="H175" i="7"/>
  <c r="J174" i="7"/>
  <c r="I174" i="7"/>
  <c r="H174" i="7"/>
  <c r="J173" i="7"/>
  <c r="H173" i="7"/>
  <c r="I173" i="7"/>
  <c r="J172" i="7"/>
  <c r="H172" i="7"/>
  <c r="I172" i="7"/>
  <c r="J171" i="7"/>
  <c r="H171" i="7"/>
  <c r="I171" i="7"/>
  <c r="J170" i="7"/>
  <c r="I170" i="7"/>
  <c r="H170" i="7"/>
  <c r="J169" i="7"/>
  <c r="I169" i="7"/>
  <c r="H169" i="7"/>
  <c r="J168" i="7"/>
  <c r="H168" i="7"/>
  <c r="I168" i="7"/>
  <c r="J167" i="7"/>
  <c r="I167" i="7"/>
  <c r="H167" i="7"/>
  <c r="J166" i="7"/>
  <c r="H166" i="7"/>
  <c r="I166" i="7"/>
  <c r="J165" i="7"/>
  <c r="I165" i="7"/>
  <c r="H165" i="7"/>
  <c r="J164" i="7"/>
  <c r="H164" i="7"/>
  <c r="I164" i="7"/>
  <c r="J163" i="7"/>
  <c r="H163" i="7"/>
  <c r="I163" i="7"/>
  <c r="J162" i="7"/>
  <c r="H162" i="7"/>
  <c r="I162" i="7"/>
  <c r="J161" i="7"/>
  <c r="I161" i="7"/>
  <c r="H161" i="7"/>
  <c r="J160" i="7"/>
  <c r="H160" i="7"/>
  <c r="I160" i="7"/>
  <c r="J159" i="7"/>
  <c r="H159" i="7"/>
  <c r="I159" i="7"/>
  <c r="J158" i="7"/>
  <c r="H158" i="7"/>
  <c r="I158" i="7"/>
  <c r="J157" i="7"/>
  <c r="H157" i="7"/>
  <c r="I157" i="7"/>
  <c r="J156" i="7"/>
  <c r="H156" i="7"/>
  <c r="I156" i="7"/>
  <c r="H155" i="7"/>
  <c r="I155" i="7"/>
  <c r="H154" i="7"/>
  <c r="I154" i="7"/>
  <c r="H153" i="7"/>
  <c r="I153" i="7"/>
  <c r="H152" i="7"/>
  <c r="I152" i="7"/>
  <c r="I151" i="7"/>
  <c r="H151" i="7"/>
  <c r="H150" i="7"/>
  <c r="I150" i="7"/>
  <c r="I149" i="7"/>
  <c r="H149" i="7"/>
  <c r="I148" i="7"/>
  <c r="H148" i="7"/>
  <c r="I147" i="7"/>
  <c r="H147" i="7"/>
  <c r="H146" i="7"/>
  <c r="I146" i="7"/>
  <c r="J145" i="7"/>
  <c r="I145" i="7"/>
  <c r="H145" i="7"/>
  <c r="J144" i="7"/>
  <c r="I144" i="7"/>
  <c r="H144" i="7"/>
  <c r="J143" i="7"/>
  <c r="H143" i="7"/>
  <c r="I143" i="7"/>
  <c r="J142" i="7"/>
  <c r="H142" i="7"/>
  <c r="I142" i="7"/>
  <c r="J141" i="7"/>
  <c r="H141" i="7"/>
  <c r="I141" i="7"/>
  <c r="J140" i="7"/>
  <c r="I140" i="7"/>
  <c r="H140" i="7"/>
  <c r="J139" i="7"/>
  <c r="H139" i="7"/>
  <c r="I139" i="7"/>
  <c r="J138" i="7"/>
  <c r="H138" i="7"/>
  <c r="I138" i="7"/>
  <c r="J137" i="7"/>
  <c r="I137" i="7"/>
  <c r="H137" i="7"/>
  <c r="J136" i="7"/>
  <c r="I136" i="7"/>
  <c r="H136" i="7"/>
  <c r="J135" i="7"/>
  <c r="H135" i="7"/>
  <c r="I135" i="7"/>
  <c r="J134" i="7"/>
  <c r="H134" i="7"/>
  <c r="I134" i="7"/>
  <c r="J133" i="7"/>
  <c r="H133" i="7"/>
  <c r="I133" i="7"/>
  <c r="J132" i="7"/>
  <c r="H132" i="7"/>
  <c r="I132" i="7"/>
  <c r="J131" i="7"/>
  <c r="I131" i="7"/>
  <c r="H131" i="7"/>
  <c r="J130" i="7"/>
  <c r="I130" i="7"/>
  <c r="H130" i="7"/>
  <c r="J129" i="7"/>
  <c r="I129" i="7"/>
  <c r="H129" i="7"/>
  <c r="J128" i="7"/>
  <c r="I128" i="7"/>
  <c r="H128" i="7"/>
  <c r="J127" i="7"/>
  <c r="I127" i="7"/>
  <c r="H127" i="7"/>
  <c r="J126" i="7"/>
  <c r="H126" i="7"/>
  <c r="I126" i="7"/>
  <c r="J125" i="7"/>
  <c r="I125" i="7"/>
  <c r="H125" i="7"/>
  <c r="J124" i="7"/>
  <c r="I124" i="7"/>
  <c r="H124" i="7"/>
  <c r="J123" i="7"/>
  <c r="I123" i="7"/>
  <c r="H123" i="7"/>
  <c r="J122" i="7"/>
  <c r="I122" i="7"/>
  <c r="H122" i="7"/>
  <c r="J121" i="7"/>
  <c r="H121" i="7"/>
  <c r="I121" i="7"/>
  <c r="J120" i="7"/>
  <c r="I120" i="7"/>
  <c r="H120" i="7"/>
  <c r="J119" i="7"/>
  <c r="I119" i="7"/>
  <c r="H119" i="7"/>
  <c r="J118" i="7"/>
  <c r="I118" i="7"/>
  <c r="H118" i="7"/>
  <c r="J117" i="7"/>
  <c r="I117" i="7"/>
  <c r="H117" i="7"/>
  <c r="J116" i="7"/>
  <c r="H116" i="7"/>
  <c r="I116" i="7"/>
  <c r="J115" i="7"/>
  <c r="I115" i="7"/>
  <c r="H115" i="7"/>
  <c r="J114" i="7"/>
  <c r="I114" i="7"/>
  <c r="H114" i="7"/>
  <c r="J113" i="7"/>
  <c r="I113" i="7"/>
  <c r="H113" i="7"/>
  <c r="J112" i="7"/>
  <c r="I112" i="7"/>
  <c r="H112" i="7"/>
  <c r="J111" i="7"/>
  <c r="H111" i="7"/>
  <c r="I111" i="7"/>
  <c r="J110" i="7"/>
  <c r="H110" i="7"/>
  <c r="I110" i="7"/>
  <c r="J109" i="7"/>
  <c r="I109" i="7"/>
  <c r="H109" i="7"/>
  <c r="J108" i="7"/>
  <c r="H108" i="7"/>
  <c r="I108" i="7"/>
  <c r="J107" i="7"/>
  <c r="I107" i="7"/>
  <c r="H107" i="7"/>
  <c r="J106" i="7"/>
  <c r="I106" i="7"/>
  <c r="H106" i="7"/>
  <c r="J105" i="7"/>
  <c r="I105" i="7"/>
  <c r="H105" i="7"/>
  <c r="H104" i="7"/>
  <c r="I104" i="7"/>
  <c r="H103" i="7"/>
  <c r="I103" i="7"/>
  <c r="I102" i="7"/>
  <c r="H102" i="7"/>
  <c r="I101" i="7"/>
  <c r="H101" i="7"/>
  <c r="H100" i="7"/>
  <c r="I100" i="7"/>
  <c r="H99" i="7"/>
  <c r="I99" i="7"/>
  <c r="H98" i="7"/>
  <c r="I98" i="7"/>
  <c r="H97" i="7"/>
  <c r="I97" i="7"/>
  <c r="I96" i="7"/>
  <c r="H96" i="7"/>
  <c r="I95" i="7"/>
  <c r="H95" i="7"/>
  <c r="H94" i="7"/>
  <c r="I94" i="7"/>
  <c r="H93" i="7"/>
  <c r="I93" i="7"/>
  <c r="H92" i="7"/>
  <c r="I92" i="7"/>
  <c r="H91" i="7"/>
  <c r="I91" i="7"/>
  <c r="H90" i="7"/>
  <c r="I90" i="7"/>
  <c r="H89" i="7"/>
  <c r="I89" i="7"/>
  <c r="H88" i="7"/>
  <c r="I88" i="7"/>
  <c r="H87" i="7"/>
  <c r="I87" i="7"/>
  <c r="I86" i="7"/>
  <c r="H86" i="7"/>
  <c r="I85" i="7"/>
  <c r="H85" i="7"/>
  <c r="I84" i="7"/>
  <c r="H84" i="7"/>
  <c r="I83" i="7"/>
  <c r="H83" i="7"/>
  <c r="H82" i="7"/>
  <c r="I82" i="7"/>
  <c r="I81" i="7"/>
  <c r="H81" i="7"/>
  <c r="I80" i="7"/>
  <c r="H80" i="7"/>
  <c r="I79" i="7"/>
  <c r="H79" i="7"/>
  <c r="I78" i="7"/>
  <c r="H78" i="7"/>
  <c r="I77" i="7"/>
  <c r="H77" i="7"/>
  <c r="I76" i="7"/>
  <c r="H76" i="7"/>
  <c r="H75" i="7"/>
  <c r="I75" i="7"/>
  <c r="I74" i="7"/>
  <c r="H74" i="7"/>
  <c r="I73" i="7"/>
  <c r="H73" i="7"/>
  <c r="I72" i="7"/>
  <c r="H72" i="7"/>
  <c r="I71" i="7"/>
  <c r="H71" i="7"/>
  <c r="H70" i="7"/>
  <c r="I70" i="7"/>
  <c r="I69" i="7"/>
  <c r="H69" i="7"/>
  <c r="I68" i="7"/>
  <c r="H68" i="7"/>
  <c r="I67" i="7"/>
  <c r="H67" i="7"/>
  <c r="I66" i="7"/>
  <c r="H66" i="7"/>
  <c r="I65" i="7"/>
  <c r="H65" i="7"/>
  <c r="I64" i="7"/>
  <c r="H64" i="7"/>
  <c r="H63" i="7"/>
  <c r="I63" i="7"/>
  <c r="I62" i="7"/>
  <c r="H62" i="7"/>
  <c r="H61" i="7"/>
  <c r="I61" i="7"/>
  <c r="H60" i="7"/>
  <c r="I60" i="7"/>
  <c r="I59" i="7"/>
  <c r="H59" i="7"/>
  <c r="I58" i="7"/>
  <c r="H58" i="7"/>
  <c r="J57" i="7"/>
  <c r="I57" i="7"/>
  <c r="H57" i="7"/>
  <c r="J56" i="7"/>
  <c r="H56" i="7"/>
  <c r="I56" i="7"/>
  <c r="J55" i="7"/>
  <c r="H55" i="7"/>
  <c r="I55" i="7"/>
  <c r="I54" i="7"/>
  <c r="H54" i="7"/>
  <c r="H53" i="7"/>
  <c r="I53" i="7"/>
  <c r="H52" i="7"/>
  <c r="I52" i="7"/>
  <c r="I51" i="7"/>
  <c r="H51" i="7"/>
  <c r="H50" i="7"/>
  <c r="I50" i="7"/>
  <c r="I49" i="7"/>
  <c r="H49" i="7"/>
  <c r="I48" i="7"/>
  <c r="H48" i="7"/>
  <c r="H47" i="7"/>
  <c r="I47" i="7"/>
  <c r="H46" i="7"/>
  <c r="I46" i="7"/>
  <c r="I45" i="7"/>
  <c r="H45" i="7"/>
  <c r="H44" i="7"/>
  <c r="I44" i="7"/>
  <c r="H43" i="7"/>
  <c r="I43" i="7"/>
  <c r="I42" i="7"/>
  <c r="H42" i="7"/>
  <c r="I41" i="7"/>
  <c r="H41" i="7"/>
  <c r="H40" i="7"/>
  <c r="I40" i="7"/>
  <c r="I39" i="7"/>
  <c r="H39" i="7"/>
  <c r="H38" i="7"/>
  <c r="I38" i="7"/>
  <c r="H37" i="7"/>
  <c r="I37" i="7"/>
  <c r="I36" i="7"/>
  <c r="H36" i="7"/>
  <c r="I35" i="7"/>
  <c r="H35" i="7"/>
  <c r="I34" i="7"/>
  <c r="H34" i="7"/>
  <c r="I33" i="7"/>
  <c r="H33" i="7"/>
  <c r="H32" i="7"/>
  <c r="I32" i="7"/>
  <c r="H31" i="7"/>
  <c r="I31" i="7"/>
  <c r="I30" i="7"/>
  <c r="H30" i="7"/>
  <c r="H29" i="7"/>
  <c r="I29" i="7"/>
  <c r="I28" i="7"/>
  <c r="H28" i="7"/>
  <c r="I27" i="7"/>
  <c r="H27" i="7"/>
  <c r="H26" i="7"/>
  <c r="I26" i="7"/>
  <c r="I25" i="7"/>
  <c r="H25" i="7"/>
  <c r="H24" i="7"/>
  <c r="I24" i="7"/>
  <c r="I23" i="7"/>
  <c r="H23" i="7"/>
  <c r="H22" i="7"/>
  <c r="I22" i="7"/>
  <c r="H21" i="7"/>
  <c r="I21" i="7"/>
  <c r="I20" i="7"/>
  <c r="H20" i="7"/>
  <c r="I19" i="7"/>
  <c r="H19" i="7"/>
  <c r="I18" i="7"/>
  <c r="H18" i="7"/>
  <c r="I17" i="7"/>
  <c r="H17" i="7"/>
  <c r="H16" i="7"/>
  <c r="I16" i="7"/>
  <c r="H15" i="7"/>
  <c r="I15" i="7"/>
  <c r="H14" i="7"/>
  <c r="I14" i="7"/>
  <c r="H13" i="7"/>
  <c r="I13" i="7"/>
  <c r="H12" i="7"/>
  <c r="I12" i="7"/>
  <c r="H11" i="7"/>
  <c r="I11" i="7"/>
  <c r="H10" i="7"/>
  <c r="I10" i="7"/>
  <c r="H9" i="7"/>
  <c r="I9" i="7"/>
  <c r="H8" i="7"/>
  <c r="I8" i="7"/>
  <c r="I7" i="7"/>
  <c r="H7" i="7"/>
  <c r="H6" i="7"/>
  <c r="I6" i="7"/>
  <c r="I5" i="7"/>
  <c r="H5" i="7"/>
  <c r="H4" i="7"/>
  <c r="I4" i="7"/>
  <c r="H3" i="7"/>
  <c r="I3" i="7"/>
  <c r="I2" i="7"/>
  <c r="H2" i="7"/>
  <c r="C3" i="3"/>
  <c r="G202" i="3"/>
  <c r="C202" i="3"/>
  <c r="G201" i="3"/>
  <c r="C201" i="3"/>
  <c r="G200" i="3"/>
  <c r="C200" i="3"/>
  <c r="G199" i="3"/>
  <c r="C199" i="3"/>
  <c r="G198" i="3"/>
  <c r="C198" i="3"/>
  <c r="G197" i="3"/>
  <c r="C197" i="3"/>
  <c r="G196" i="3"/>
  <c r="C196" i="3"/>
  <c r="G195" i="3"/>
  <c r="C195" i="3"/>
  <c r="G194" i="3"/>
  <c r="C194" i="3"/>
  <c r="G193" i="3"/>
  <c r="C193" i="3"/>
  <c r="G192" i="3"/>
  <c r="C192" i="3"/>
  <c r="G191" i="3"/>
  <c r="C191" i="3"/>
  <c r="G190" i="3"/>
  <c r="C190" i="3"/>
  <c r="G189" i="3"/>
  <c r="C189" i="3"/>
  <c r="G188" i="3"/>
  <c r="C188" i="3"/>
  <c r="G187" i="3"/>
  <c r="C187" i="3"/>
  <c r="G186" i="3"/>
  <c r="C186" i="3"/>
  <c r="G185" i="3"/>
  <c r="C185" i="3"/>
  <c r="G184" i="3"/>
  <c r="C184" i="3"/>
  <c r="G183" i="3"/>
  <c r="C183" i="3"/>
  <c r="G182" i="3"/>
  <c r="C182" i="3"/>
  <c r="G181" i="3"/>
  <c r="C181" i="3"/>
  <c r="G180" i="3"/>
  <c r="C180" i="3"/>
  <c r="G179" i="3"/>
  <c r="C179" i="3"/>
  <c r="G178" i="3"/>
  <c r="C178" i="3"/>
  <c r="G177" i="3"/>
  <c r="C177" i="3"/>
  <c r="G176" i="3"/>
  <c r="C176" i="3"/>
  <c r="G175" i="3"/>
  <c r="C175" i="3"/>
  <c r="G174" i="3"/>
  <c r="C174" i="3"/>
  <c r="G173" i="3"/>
  <c r="C173" i="3"/>
  <c r="G172" i="3"/>
  <c r="C172" i="3"/>
  <c r="G171" i="3"/>
  <c r="C171" i="3"/>
  <c r="G170" i="3"/>
  <c r="C170" i="3"/>
  <c r="G169" i="3"/>
  <c r="C169" i="3"/>
  <c r="G168" i="3"/>
  <c r="C168" i="3"/>
  <c r="G167" i="3"/>
  <c r="C167" i="3"/>
  <c r="G166" i="3"/>
  <c r="C166" i="3"/>
  <c r="G165" i="3"/>
  <c r="C165" i="3"/>
  <c r="G164" i="3"/>
  <c r="C164" i="3"/>
  <c r="G163" i="3"/>
  <c r="C163" i="3"/>
  <c r="G162" i="3"/>
  <c r="C162" i="3"/>
  <c r="G161" i="3"/>
  <c r="C161" i="3"/>
  <c r="G160" i="3"/>
  <c r="C160" i="3"/>
  <c r="G159" i="3"/>
  <c r="C159" i="3"/>
  <c r="G158" i="3"/>
  <c r="C158" i="3"/>
  <c r="G157" i="3"/>
  <c r="C157" i="3"/>
  <c r="G156" i="3"/>
  <c r="C156" i="3"/>
  <c r="G155" i="3"/>
  <c r="C155" i="3"/>
  <c r="G154" i="3"/>
  <c r="C154" i="3"/>
  <c r="G153" i="3"/>
  <c r="C153" i="3"/>
  <c r="G152" i="3"/>
  <c r="C152" i="3"/>
  <c r="G151" i="3"/>
  <c r="C151" i="3"/>
  <c r="G150" i="3"/>
  <c r="C150" i="3"/>
  <c r="G149" i="3"/>
  <c r="C149" i="3"/>
  <c r="G148" i="3"/>
  <c r="C148" i="3"/>
  <c r="G147" i="3"/>
  <c r="C147" i="3"/>
  <c r="G146" i="3"/>
  <c r="C146" i="3"/>
  <c r="G145" i="3"/>
  <c r="C145" i="3"/>
  <c r="G144" i="3"/>
  <c r="C144" i="3"/>
  <c r="G143" i="3"/>
  <c r="C143" i="3"/>
  <c r="G142" i="3"/>
  <c r="C142" i="3"/>
  <c r="G141" i="3"/>
  <c r="C141" i="3"/>
  <c r="G140" i="3"/>
  <c r="C140" i="3"/>
  <c r="G139" i="3"/>
  <c r="C139" i="3"/>
  <c r="G138" i="3"/>
  <c r="C138" i="3"/>
  <c r="G137" i="3"/>
  <c r="C137" i="3"/>
  <c r="G136" i="3"/>
  <c r="C136" i="3"/>
  <c r="G135" i="3"/>
  <c r="C135" i="3"/>
  <c r="G134" i="3"/>
  <c r="C134" i="3"/>
  <c r="G133" i="3"/>
  <c r="C133" i="3"/>
  <c r="G132" i="3"/>
  <c r="C132" i="3"/>
  <c r="G131" i="3"/>
  <c r="C131" i="3"/>
  <c r="G130" i="3"/>
  <c r="C130" i="3"/>
  <c r="G129" i="3"/>
  <c r="C129" i="3"/>
  <c r="G128" i="3"/>
  <c r="C128" i="3"/>
  <c r="G127" i="3"/>
  <c r="C127" i="3"/>
  <c r="G126" i="3"/>
  <c r="C126" i="3"/>
  <c r="G125" i="3"/>
  <c r="C125" i="3"/>
  <c r="G124" i="3"/>
  <c r="C124" i="3"/>
  <c r="G123" i="3"/>
  <c r="C123" i="3"/>
  <c r="G122" i="3"/>
  <c r="C122" i="3"/>
  <c r="G121" i="3"/>
  <c r="C121" i="3"/>
  <c r="G120" i="3"/>
  <c r="C120" i="3"/>
  <c r="G119" i="3"/>
  <c r="C119" i="3"/>
  <c r="G118" i="3"/>
  <c r="C118" i="3"/>
  <c r="G117" i="3"/>
  <c r="C117" i="3"/>
  <c r="G116" i="3"/>
  <c r="C116" i="3"/>
  <c r="G115" i="3"/>
  <c r="C115" i="3"/>
  <c r="G114" i="3"/>
  <c r="C114" i="3"/>
  <c r="G113" i="3"/>
  <c r="C113" i="3"/>
  <c r="G112" i="3"/>
  <c r="C112" i="3"/>
  <c r="G111" i="3"/>
  <c r="C111" i="3"/>
  <c r="G110" i="3"/>
  <c r="C110" i="3"/>
  <c r="G109" i="3"/>
  <c r="C109" i="3"/>
  <c r="G108" i="3"/>
  <c r="C108" i="3"/>
  <c r="G107" i="3"/>
  <c r="C107" i="3"/>
  <c r="G106" i="3"/>
  <c r="C106" i="3"/>
  <c r="G105" i="3"/>
  <c r="C105" i="3"/>
  <c r="G104" i="3"/>
  <c r="C104" i="3"/>
  <c r="G103" i="3"/>
  <c r="C103" i="3"/>
  <c r="G102" i="3"/>
  <c r="C102" i="3"/>
  <c r="G101" i="3"/>
  <c r="C101" i="3"/>
  <c r="G100" i="3"/>
  <c r="C100" i="3"/>
  <c r="G99" i="3"/>
  <c r="C99" i="3"/>
  <c r="G98" i="3"/>
  <c r="C98" i="3"/>
  <c r="G97" i="3"/>
  <c r="C97" i="3"/>
  <c r="G96" i="3"/>
  <c r="C96" i="3"/>
  <c r="G95" i="3"/>
  <c r="C95" i="3"/>
  <c r="G94" i="3"/>
  <c r="C94" i="3"/>
  <c r="G93" i="3"/>
  <c r="C93" i="3"/>
  <c r="G92" i="3"/>
  <c r="C92" i="3"/>
  <c r="G91" i="3"/>
  <c r="C91" i="3"/>
  <c r="G90" i="3"/>
  <c r="C90" i="3"/>
  <c r="G89" i="3"/>
  <c r="C89" i="3"/>
  <c r="G88" i="3"/>
  <c r="C88" i="3"/>
  <c r="G87" i="3"/>
  <c r="C87" i="3"/>
  <c r="G86" i="3"/>
  <c r="C86" i="3"/>
  <c r="G85" i="3"/>
  <c r="C85" i="3"/>
  <c r="G84" i="3"/>
  <c r="C84" i="3"/>
  <c r="G83" i="3"/>
  <c r="C83" i="3"/>
  <c r="G82" i="3"/>
  <c r="C82" i="3"/>
  <c r="G81" i="3"/>
  <c r="C81" i="3"/>
  <c r="G80" i="3"/>
  <c r="C80" i="3"/>
  <c r="G79" i="3"/>
  <c r="C79" i="3"/>
  <c r="G78" i="3"/>
  <c r="C78" i="3"/>
  <c r="G77" i="3"/>
  <c r="C77" i="3"/>
  <c r="G76" i="3"/>
  <c r="C76" i="3"/>
  <c r="G75" i="3"/>
  <c r="C75" i="3"/>
  <c r="G74" i="3"/>
  <c r="C74" i="3"/>
  <c r="G73" i="3"/>
  <c r="C73" i="3"/>
  <c r="G72" i="3"/>
  <c r="C72" i="3"/>
  <c r="G71" i="3"/>
  <c r="C71" i="3"/>
  <c r="G70" i="3"/>
  <c r="C70" i="3"/>
  <c r="G69" i="3"/>
  <c r="C69" i="3"/>
  <c r="G68" i="3"/>
  <c r="C68" i="3"/>
  <c r="G67" i="3"/>
  <c r="C67" i="3"/>
  <c r="G66" i="3"/>
  <c r="C66" i="3"/>
  <c r="G65" i="3"/>
  <c r="C65" i="3"/>
  <c r="G64" i="3"/>
  <c r="C64" i="3"/>
  <c r="G63" i="3"/>
  <c r="C63" i="3"/>
  <c r="G62" i="3"/>
  <c r="C62" i="3"/>
  <c r="G61" i="3"/>
  <c r="C61" i="3"/>
  <c r="G60" i="3"/>
  <c r="C60" i="3"/>
  <c r="G59" i="3"/>
  <c r="C59" i="3"/>
  <c r="G58" i="3"/>
  <c r="C58" i="3"/>
  <c r="G57" i="3"/>
  <c r="C57" i="3"/>
  <c r="G56" i="3"/>
  <c r="C56" i="3"/>
  <c r="G55" i="3"/>
  <c r="C55" i="3"/>
  <c r="G54" i="3"/>
  <c r="C54" i="3"/>
  <c r="G53" i="3"/>
  <c r="C53" i="3"/>
  <c r="G52" i="3"/>
  <c r="C52" i="3"/>
  <c r="G51" i="3"/>
  <c r="C51" i="3"/>
  <c r="G50" i="3"/>
  <c r="C50" i="3"/>
  <c r="G49" i="3"/>
  <c r="C49" i="3"/>
  <c r="G48" i="3"/>
  <c r="C48" i="3"/>
  <c r="G47" i="3"/>
  <c r="C47" i="3"/>
  <c r="G46" i="3"/>
  <c r="C46" i="3"/>
  <c r="G45" i="3"/>
  <c r="C45" i="3"/>
  <c r="G44" i="3"/>
  <c r="C44" i="3"/>
  <c r="G43" i="3"/>
  <c r="C43" i="3"/>
  <c r="G42" i="3"/>
  <c r="C42" i="3"/>
  <c r="G41" i="3"/>
  <c r="C41" i="3"/>
  <c r="G40" i="3"/>
  <c r="C40" i="3"/>
  <c r="G39" i="3"/>
  <c r="C39" i="3"/>
  <c r="G38" i="3"/>
  <c r="C38" i="3"/>
  <c r="G37" i="3"/>
  <c r="C37" i="3"/>
  <c r="G36" i="3"/>
  <c r="C36" i="3"/>
  <c r="G35" i="3"/>
  <c r="C35" i="3"/>
  <c r="G34" i="3"/>
  <c r="C34" i="3"/>
  <c r="G33" i="3"/>
  <c r="C33" i="3"/>
  <c r="G32" i="3"/>
  <c r="C32" i="3"/>
  <c r="G31" i="3"/>
  <c r="C31" i="3"/>
  <c r="G30" i="3"/>
  <c r="C30" i="3"/>
  <c r="G29" i="3"/>
  <c r="C29" i="3"/>
  <c r="G28" i="3"/>
  <c r="C28" i="3"/>
  <c r="G27" i="3"/>
  <c r="C27" i="3"/>
  <c r="G26" i="3"/>
  <c r="C26" i="3"/>
  <c r="G25" i="3"/>
  <c r="C25" i="3"/>
  <c r="G24" i="3"/>
  <c r="C24" i="3"/>
  <c r="G23" i="3"/>
  <c r="C23" i="3"/>
  <c r="G22" i="3"/>
  <c r="C22" i="3"/>
  <c r="G21" i="3"/>
  <c r="C21" i="3"/>
  <c r="G20" i="3"/>
  <c r="C20" i="3"/>
  <c r="G19" i="3"/>
  <c r="C19" i="3"/>
  <c r="G18" i="3"/>
  <c r="C18" i="3"/>
  <c r="G17" i="3"/>
  <c r="C17" i="3"/>
  <c r="G16" i="3"/>
  <c r="C16" i="3"/>
  <c r="G15" i="3"/>
  <c r="C15" i="3"/>
  <c r="G14" i="3"/>
  <c r="C14" i="3"/>
  <c r="G13" i="3"/>
  <c r="C13" i="3"/>
  <c r="G12" i="3"/>
  <c r="C12" i="3"/>
  <c r="G10" i="3"/>
  <c r="C10" i="3"/>
  <c r="G9" i="3"/>
  <c r="C9" i="3"/>
  <c r="G8" i="3"/>
  <c r="C8" i="3"/>
  <c r="G7" i="3"/>
  <c r="C7" i="3"/>
  <c r="G6" i="3"/>
  <c r="C6" i="3"/>
  <c r="G5" i="3"/>
  <c r="C5" i="3"/>
  <c r="G4" i="3"/>
  <c r="C4" i="3"/>
  <c r="Q38" i="3"/>
  <c r="Q51" i="3"/>
  <c r="Q57" i="3"/>
  <c r="Q61" i="3"/>
  <c r="Q65" i="3"/>
  <c r="Q69" i="3"/>
  <c r="Q73" i="3"/>
  <c r="Q77" i="3"/>
  <c r="Q81" i="3"/>
  <c r="Q85" i="3"/>
  <c r="Q88" i="3"/>
  <c r="Q91" i="3"/>
  <c r="Q94" i="3"/>
  <c r="Q97" i="3"/>
  <c r="Q100" i="3"/>
  <c r="Q103" i="3"/>
  <c r="Q108" i="3"/>
  <c r="Q112" i="3"/>
  <c r="Q115" i="3"/>
  <c r="Q119" i="3"/>
  <c r="Q124" i="3"/>
  <c r="Q128" i="3"/>
  <c r="Q131" i="3"/>
  <c r="Q135" i="3"/>
  <c r="Q139" i="3"/>
  <c r="Q144" i="3"/>
  <c r="Q147" i="3"/>
  <c r="Q150" i="3"/>
  <c r="Q155" i="3"/>
  <c r="Q158" i="3"/>
  <c r="Q163" i="3"/>
  <c r="Q167" i="3"/>
  <c r="Q172" i="3"/>
  <c r="Q178" i="3"/>
  <c r="Q182" i="3"/>
  <c r="Q188" i="3"/>
  <c r="Q192" i="3"/>
  <c r="Q195" i="3"/>
  <c r="Q200" i="3"/>
  <c r="Q106" i="3"/>
  <c r="Q126" i="3"/>
  <c r="Q130" i="3"/>
  <c r="Q134" i="3"/>
  <c r="Q138" i="3"/>
  <c r="Q141" i="3"/>
  <c r="Q145" i="3"/>
  <c r="Q149" i="3"/>
  <c r="Q152" i="3"/>
  <c r="Q156" i="3"/>
  <c r="Q161" i="3"/>
  <c r="Q165" i="3"/>
  <c r="Q169" i="3"/>
  <c r="Q174" i="3"/>
  <c r="Q179" i="3"/>
  <c r="Q183" i="3"/>
  <c r="Q187" i="3"/>
  <c r="Q191" i="3"/>
  <c r="Q194" i="3"/>
  <c r="Q199" i="3"/>
  <c r="R3" i="3"/>
  <c r="Q4" i="3"/>
  <c r="Q5" i="3"/>
  <c r="Q6" i="3"/>
  <c r="Q7" i="3"/>
  <c r="Q8" i="3"/>
  <c r="Q9" i="3"/>
  <c r="Q10" i="3"/>
  <c r="Q11" i="3"/>
  <c r="Q12" i="3"/>
  <c r="Q13" i="3"/>
  <c r="Q14" i="3"/>
  <c r="Q15" i="3"/>
  <c r="Q16" i="3"/>
  <c r="Q17" i="3"/>
  <c r="Q18" i="3"/>
  <c r="Q19" i="3"/>
  <c r="Q20" i="3"/>
  <c r="Q22" i="3"/>
  <c r="Q23" i="3"/>
  <c r="Q24" i="3"/>
  <c r="Q25" i="3"/>
  <c r="Q26" i="3"/>
  <c r="Q27" i="3"/>
  <c r="Q28" i="3"/>
  <c r="Q29" i="3"/>
  <c r="Q30" i="3"/>
  <c r="Q31" i="3"/>
  <c r="Q32" i="3"/>
  <c r="Q33" i="3"/>
  <c r="Q34" i="3"/>
  <c r="Q35" i="3"/>
  <c r="Q36" i="3"/>
  <c r="Q37" i="3"/>
  <c r="Q39" i="3"/>
  <c r="Q40" i="3"/>
  <c r="Q41" i="3"/>
  <c r="Q42" i="3"/>
  <c r="Q43" i="3"/>
  <c r="Q44" i="3"/>
  <c r="Q46" i="3"/>
  <c r="Q47" i="3"/>
  <c r="Q48" i="3"/>
  <c r="Q50" i="3"/>
  <c r="Q52" i="3"/>
  <c r="Q54" i="3"/>
  <c r="Q55" i="3"/>
  <c r="Q58" i="3"/>
  <c r="Q59" i="3"/>
  <c r="Q62" i="3"/>
  <c r="Q64" i="3"/>
  <c r="Q66" i="3"/>
  <c r="Q68" i="3"/>
  <c r="Q71" i="3"/>
  <c r="Q72" i="3"/>
  <c r="Q74" i="3"/>
  <c r="Q76" i="3"/>
  <c r="Q78" i="3"/>
  <c r="Q80" i="3"/>
  <c r="Q82" i="3"/>
  <c r="Q84" i="3"/>
  <c r="Q87" i="3"/>
  <c r="Q89" i="3"/>
  <c r="Q92" i="3"/>
  <c r="Q93" i="3"/>
  <c r="Q95" i="3"/>
  <c r="Q96" i="3"/>
  <c r="Q98" i="3"/>
  <c r="Q99" i="3"/>
  <c r="Q101" i="3"/>
  <c r="Q102" i="3"/>
  <c r="Q104" i="3"/>
  <c r="Q107" i="3"/>
  <c r="Q109" i="3"/>
  <c r="Q111" i="3"/>
  <c r="Q113" i="3"/>
  <c r="Q116" i="3"/>
  <c r="Q117" i="3"/>
  <c r="Q120" i="3"/>
  <c r="Q121" i="3"/>
  <c r="Q123" i="3"/>
  <c r="Q125" i="3"/>
  <c r="Q129" i="3"/>
  <c r="Q133" i="3"/>
  <c r="Q137" i="3"/>
  <c r="Q140" i="3"/>
  <c r="Q143" i="3"/>
  <c r="Q151" i="3"/>
  <c r="Q154" i="3"/>
  <c r="Q159" i="3"/>
  <c r="Q162" i="3"/>
  <c r="Q164" i="3"/>
  <c r="Q168" i="3"/>
  <c r="Q170" i="3"/>
  <c r="Q173" i="3"/>
  <c r="Q175" i="3"/>
  <c r="Q177" i="3"/>
  <c r="Q181" i="3"/>
  <c r="Q184" i="3"/>
  <c r="Q186" i="3"/>
  <c r="Q190" i="3"/>
  <c r="Q196" i="3"/>
  <c r="Q198" i="3"/>
  <c r="Q201" i="3"/>
  <c r="Q3" i="3"/>
  <c r="Q21" i="3"/>
  <c r="Q45" i="3"/>
  <c r="Q49" i="3"/>
  <c r="Q53" i="3"/>
  <c r="Q56" i="3"/>
  <c r="Q60" i="3"/>
  <c r="Q63" i="3"/>
  <c r="Q67" i="3"/>
  <c r="Q70" i="3"/>
  <c r="Q75" i="3"/>
  <c r="Q79" i="3"/>
  <c r="Q83" i="3"/>
  <c r="Q86" i="3"/>
  <c r="Q90" i="3"/>
  <c r="Q105" i="3"/>
  <c r="Q110" i="3"/>
  <c r="Q114" i="3"/>
  <c r="Q118" i="3"/>
  <c r="Q122" i="3"/>
  <c r="Q127" i="3"/>
  <c r="Q132" i="3"/>
  <c r="Q136" i="3"/>
  <c r="Q142" i="3"/>
  <c r="Q146" i="3"/>
  <c r="Q148" i="3"/>
  <c r="Q153" i="3"/>
  <c r="Q157" i="3"/>
  <c r="Q160" i="3"/>
  <c r="Q166" i="3"/>
  <c r="Q171" i="3"/>
  <c r="Q176" i="3"/>
  <c r="Q180" i="3"/>
  <c r="Q185" i="3"/>
  <c r="Q189" i="3"/>
  <c r="Q193" i="3"/>
  <c r="Q197" i="3"/>
  <c r="Q202" i="3"/>
  <c r="B3" i="5"/>
  <c r="C3" i="6"/>
  <c r="B4" i="5"/>
  <c r="C4" i="6"/>
  <c r="B5" i="5"/>
  <c r="C5" i="6"/>
  <c r="B6" i="5"/>
  <c r="C6" i="6"/>
  <c r="B7" i="5"/>
  <c r="C7" i="6"/>
  <c r="B8" i="5"/>
  <c r="C8" i="6"/>
  <c r="B9" i="5"/>
  <c r="C9" i="6"/>
  <c r="B10" i="5"/>
  <c r="C10" i="6"/>
  <c r="B11" i="5"/>
  <c r="C11" i="6"/>
  <c r="B13" i="5"/>
  <c r="C13" i="6"/>
  <c r="B14" i="5"/>
  <c r="C14" i="6"/>
  <c r="B15" i="5"/>
  <c r="C15" i="6"/>
  <c r="B16" i="5"/>
  <c r="C16" i="6"/>
  <c r="B17" i="5"/>
  <c r="C17" i="6"/>
  <c r="B18" i="5"/>
  <c r="C18" i="6"/>
  <c r="B19" i="5"/>
  <c r="C19" i="6"/>
  <c r="B20" i="5"/>
  <c r="C20" i="6"/>
  <c r="B21" i="5"/>
  <c r="C21" i="6"/>
  <c r="B22" i="5"/>
  <c r="C22" i="6"/>
  <c r="B23" i="5"/>
  <c r="C23" i="6"/>
  <c r="B24" i="5"/>
  <c r="C24" i="6"/>
  <c r="B25" i="5"/>
  <c r="C25" i="6"/>
  <c r="B26" i="5"/>
  <c r="C26" i="6"/>
  <c r="B27" i="5"/>
  <c r="C27" i="6"/>
  <c r="B28" i="5"/>
  <c r="C28" i="6"/>
  <c r="B29" i="5"/>
  <c r="C29" i="6"/>
  <c r="B30" i="5"/>
  <c r="C30" i="6"/>
  <c r="B31" i="5"/>
  <c r="C31" i="6"/>
  <c r="B32" i="5"/>
  <c r="C32" i="6"/>
  <c r="B33" i="5"/>
  <c r="C33" i="6"/>
  <c r="B34" i="5"/>
  <c r="C34" i="6"/>
  <c r="B35" i="5"/>
  <c r="C35" i="6"/>
  <c r="B36" i="5"/>
  <c r="C36" i="6"/>
  <c r="B37" i="5"/>
  <c r="C37" i="6"/>
  <c r="B38" i="5"/>
  <c r="C38" i="6"/>
  <c r="B39" i="5"/>
  <c r="C39" i="6"/>
  <c r="B40" i="5"/>
  <c r="C40" i="6"/>
  <c r="B41" i="5"/>
  <c r="C41" i="6"/>
  <c r="B42" i="5"/>
  <c r="C42" i="6"/>
  <c r="B43" i="5"/>
  <c r="C43" i="6"/>
  <c r="B44" i="5"/>
  <c r="C44" i="6"/>
  <c r="B45" i="5"/>
  <c r="C45" i="6"/>
  <c r="B46" i="5"/>
  <c r="C46" i="6"/>
  <c r="B47" i="5"/>
  <c r="C47" i="6"/>
  <c r="B48" i="5"/>
  <c r="C48" i="6"/>
  <c r="B49" i="5"/>
  <c r="C49" i="6"/>
  <c r="B50" i="5"/>
  <c r="C50" i="6"/>
  <c r="B51" i="5"/>
  <c r="C51" i="6"/>
  <c r="B52" i="5"/>
  <c r="C52" i="6"/>
  <c r="B53" i="5"/>
  <c r="C53" i="6"/>
  <c r="B54" i="5"/>
  <c r="C54" i="6"/>
  <c r="B55" i="5"/>
  <c r="C55" i="6"/>
  <c r="B56" i="5"/>
  <c r="C56" i="6"/>
  <c r="B57" i="5"/>
  <c r="C57" i="6"/>
  <c r="B58" i="5"/>
  <c r="C58" i="6"/>
  <c r="B59" i="5"/>
  <c r="C59" i="6"/>
  <c r="B60" i="5"/>
  <c r="C60" i="6"/>
  <c r="B61" i="5"/>
  <c r="C61" i="6"/>
  <c r="B62" i="5"/>
  <c r="C62" i="6"/>
  <c r="B63" i="5"/>
  <c r="C63" i="6"/>
  <c r="B64" i="5"/>
  <c r="C64" i="6"/>
  <c r="B65" i="5"/>
  <c r="C65" i="6"/>
  <c r="B66" i="5"/>
  <c r="C66" i="6"/>
  <c r="B67" i="5"/>
  <c r="C67" i="6"/>
  <c r="B68" i="5"/>
  <c r="C68" i="6"/>
  <c r="B69" i="5"/>
  <c r="C69" i="6"/>
  <c r="B70" i="5"/>
  <c r="C70" i="6"/>
  <c r="B71" i="5"/>
  <c r="C71" i="6"/>
  <c r="B72" i="5"/>
  <c r="C72" i="6"/>
  <c r="B73" i="5"/>
  <c r="C73" i="6"/>
  <c r="B74" i="5"/>
  <c r="C74" i="6"/>
  <c r="B75" i="5"/>
  <c r="C75" i="6"/>
  <c r="B76" i="5"/>
  <c r="C76" i="6"/>
  <c r="B77" i="5"/>
  <c r="C77" i="6"/>
  <c r="B78" i="5"/>
  <c r="C78" i="6"/>
  <c r="B79" i="5"/>
  <c r="C79" i="6"/>
  <c r="B80" i="5"/>
  <c r="C80" i="6"/>
  <c r="B81" i="5"/>
  <c r="C81" i="6"/>
  <c r="B82" i="5"/>
  <c r="C82" i="6"/>
  <c r="B83" i="5"/>
  <c r="C83" i="6"/>
  <c r="B84" i="5"/>
  <c r="C84" i="6"/>
  <c r="B85" i="5"/>
  <c r="C85" i="6"/>
  <c r="B86" i="5"/>
  <c r="C86" i="6"/>
  <c r="B87" i="5"/>
  <c r="C87" i="6"/>
  <c r="B88" i="5"/>
  <c r="C88" i="6"/>
  <c r="B89" i="5"/>
  <c r="C89" i="6"/>
  <c r="B90" i="5"/>
  <c r="C90" i="6"/>
  <c r="B91" i="5"/>
  <c r="C91" i="6"/>
  <c r="B92" i="5"/>
  <c r="C92" i="6"/>
  <c r="B93" i="5"/>
  <c r="C93" i="6"/>
  <c r="B94" i="5"/>
  <c r="C94" i="6"/>
  <c r="B95" i="5"/>
  <c r="C95" i="6"/>
  <c r="B96" i="5"/>
  <c r="C96" i="6"/>
  <c r="B97" i="5"/>
  <c r="C97" i="6"/>
  <c r="B98" i="5"/>
  <c r="C98" i="6"/>
  <c r="B99" i="5"/>
  <c r="C99" i="6"/>
  <c r="B100" i="5"/>
  <c r="C100" i="6"/>
  <c r="B101" i="5"/>
  <c r="C101" i="6"/>
  <c r="B102" i="5"/>
  <c r="C102" i="6"/>
  <c r="B103" i="5"/>
  <c r="C103" i="6"/>
  <c r="B104" i="5"/>
  <c r="C104" i="6"/>
  <c r="B105" i="5"/>
  <c r="C105" i="6"/>
  <c r="B106" i="5"/>
  <c r="C106" i="6"/>
  <c r="B107" i="5"/>
  <c r="C107" i="6"/>
  <c r="B108" i="5"/>
  <c r="C108" i="6"/>
  <c r="B109" i="5"/>
  <c r="C109" i="6"/>
  <c r="B110" i="5"/>
  <c r="C110" i="6"/>
  <c r="B111" i="5"/>
  <c r="C111" i="6"/>
  <c r="B112" i="5"/>
  <c r="C112" i="6"/>
  <c r="B113" i="5"/>
  <c r="C113" i="6"/>
  <c r="B114" i="5"/>
  <c r="C114" i="6"/>
  <c r="B115" i="5"/>
  <c r="C115" i="6"/>
  <c r="B116" i="5"/>
  <c r="C116" i="6"/>
  <c r="B117" i="5"/>
  <c r="C117" i="6"/>
  <c r="B118" i="5"/>
  <c r="C118" i="6"/>
  <c r="B119" i="5"/>
  <c r="C119" i="6"/>
  <c r="B120" i="5"/>
  <c r="C120" i="6"/>
  <c r="B121" i="5"/>
  <c r="C121" i="6"/>
  <c r="B122" i="5"/>
  <c r="C122" i="6"/>
  <c r="B123" i="5"/>
  <c r="C123" i="6"/>
  <c r="B124" i="5"/>
  <c r="C124" i="6"/>
  <c r="B125" i="5"/>
  <c r="C125" i="6"/>
  <c r="B126" i="5"/>
  <c r="C126" i="6"/>
  <c r="B127" i="5"/>
  <c r="C127" i="6"/>
  <c r="B128" i="5"/>
  <c r="C128" i="6"/>
  <c r="B129" i="5"/>
  <c r="C129" i="6"/>
  <c r="B130" i="5"/>
  <c r="C130" i="6"/>
  <c r="B131" i="5"/>
  <c r="C131" i="6"/>
  <c r="B132" i="5"/>
  <c r="C132" i="6"/>
  <c r="B133" i="5"/>
  <c r="C133" i="6"/>
  <c r="B134" i="5"/>
  <c r="C134" i="6"/>
  <c r="B135" i="5"/>
  <c r="C135" i="6"/>
  <c r="B136" i="5"/>
  <c r="C136" i="6"/>
  <c r="B137" i="5"/>
  <c r="C137" i="6"/>
  <c r="B138" i="5"/>
  <c r="C138" i="6"/>
  <c r="B139" i="5"/>
  <c r="C139" i="6"/>
  <c r="B140" i="5"/>
  <c r="C140" i="6"/>
  <c r="B141" i="5"/>
  <c r="C141" i="6"/>
  <c r="B142" i="5"/>
  <c r="C142" i="6"/>
  <c r="B143" i="5"/>
  <c r="C143" i="6"/>
  <c r="B144" i="5"/>
  <c r="C144" i="6"/>
  <c r="B145" i="5"/>
  <c r="C145" i="6"/>
  <c r="B146" i="5"/>
  <c r="C146" i="6"/>
  <c r="B147" i="5"/>
  <c r="C147" i="6"/>
  <c r="B148" i="5"/>
  <c r="C148" i="6"/>
  <c r="B149" i="5"/>
  <c r="C149" i="6"/>
  <c r="B150" i="5"/>
  <c r="C150" i="6"/>
  <c r="B151" i="5"/>
  <c r="C151" i="6"/>
  <c r="B152" i="5"/>
  <c r="C152" i="6"/>
  <c r="B153" i="5"/>
  <c r="C153" i="6"/>
  <c r="B154" i="5"/>
  <c r="C154" i="6"/>
  <c r="B155" i="5"/>
  <c r="C155" i="6"/>
  <c r="B156" i="5"/>
  <c r="C156" i="6"/>
  <c r="B157" i="5"/>
  <c r="C157" i="6"/>
  <c r="B158" i="5"/>
  <c r="C158" i="6"/>
  <c r="B159" i="5"/>
  <c r="C159" i="6"/>
  <c r="B160" i="5"/>
  <c r="C160" i="6"/>
  <c r="B161" i="5"/>
  <c r="C161" i="6"/>
  <c r="B163" i="5"/>
  <c r="C163" i="6"/>
  <c r="B164" i="5"/>
  <c r="C164" i="6"/>
  <c r="B165" i="5"/>
  <c r="C165" i="6"/>
  <c r="B166" i="5"/>
  <c r="C166" i="6"/>
  <c r="B167" i="5"/>
  <c r="C167" i="6"/>
  <c r="B169" i="5"/>
  <c r="C169" i="6"/>
  <c r="B170" i="5"/>
  <c r="C170" i="6"/>
  <c r="B171" i="5"/>
  <c r="C171" i="6"/>
  <c r="B172" i="5"/>
  <c r="C172" i="6"/>
  <c r="B176" i="5"/>
  <c r="C176" i="6"/>
  <c r="B177" i="5"/>
  <c r="C177" i="6"/>
  <c r="B178" i="5"/>
  <c r="C178" i="6"/>
  <c r="B180" i="5"/>
  <c r="C180" i="6"/>
  <c r="B181" i="5"/>
  <c r="C181" i="6"/>
  <c r="B182" i="5"/>
  <c r="C182" i="6"/>
  <c r="B183" i="5"/>
  <c r="C183" i="6"/>
  <c r="B185" i="5"/>
  <c r="C185" i="6"/>
  <c r="B187" i="5"/>
  <c r="C187" i="6"/>
  <c r="B188" i="5"/>
  <c r="C188" i="6"/>
  <c r="B189" i="5"/>
  <c r="C189" i="6"/>
  <c r="B190" i="5"/>
  <c r="C190" i="6"/>
  <c r="B191" i="5"/>
  <c r="C191" i="6"/>
  <c r="B192" i="5"/>
  <c r="C192" i="6"/>
  <c r="B193" i="5"/>
  <c r="C193" i="6"/>
  <c r="B194" i="5"/>
  <c r="C194" i="6"/>
  <c r="B195" i="5"/>
  <c r="C195" i="6"/>
  <c r="B198" i="5"/>
  <c r="C198" i="6"/>
  <c r="B201" i="5"/>
  <c r="C201" i="6"/>
  <c r="B12" i="5"/>
  <c r="B2" i="5"/>
  <c r="G63" i="7"/>
  <c r="Y15" i="3"/>
  <c r="S2" i="7"/>
  <c r="Y48" i="3"/>
  <c r="Y32" i="3"/>
  <c r="Y64" i="3"/>
  <c r="Y17" i="3"/>
  <c r="Y33" i="3"/>
  <c r="Y49" i="3"/>
  <c r="Y16" i="3"/>
  <c r="Y18" i="3"/>
  <c r="G191" i="7"/>
  <c r="Y63" i="3"/>
  <c r="Y79" i="3"/>
  <c r="Y47" i="3"/>
  <c r="G109" i="7"/>
  <c r="Y3" i="3"/>
  <c r="Y31" i="3"/>
  <c r="G95" i="7"/>
  <c r="B49" i="7"/>
  <c r="G49" i="7"/>
  <c r="B65" i="7"/>
  <c r="G65" i="7"/>
  <c r="B177" i="7"/>
  <c r="G177" i="7"/>
  <c r="B193" i="7"/>
  <c r="G193" i="7"/>
  <c r="B17" i="7"/>
  <c r="G17" i="7"/>
  <c r="B129" i="7"/>
  <c r="G129" i="7"/>
  <c r="Y65" i="3"/>
  <c r="Y81" i="3"/>
  <c r="Y97" i="3"/>
  <c r="B145" i="7"/>
  <c r="G145" i="7"/>
  <c r="Y34" i="3"/>
  <c r="Y50" i="3"/>
  <c r="Y66" i="3"/>
  <c r="Y82" i="3"/>
  <c r="B161" i="7"/>
  <c r="G161" i="7"/>
  <c r="Y19" i="3"/>
  <c r="Y83" i="3"/>
  <c r="Y99" i="3"/>
  <c r="B97" i="7"/>
  <c r="G97" i="7"/>
  <c r="Y35" i="3"/>
  <c r="Y51" i="3"/>
  <c r="B113" i="7"/>
  <c r="G113" i="7"/>
  <c r="Y67" i="3"/>
  <c r="B33" i="7"/>
  <c r="G33" i="7"/>
  <c r="B81" i="7"/>
  <c r="G81" i="7"/>
  <c r="Y6" i="3"/>
  <c r="Y22" i="3"/>
  <c r="Y38" i="3"/>
  <c r="Y54" i="3"/>
  <c r="Y70" i="3"/>
  <c r="B200" i="5"/>
  <c r="B168" i="5"/>
  <c r="B184" i="5"/>
  <c r="Y20" i="3"/>
  <c r="Y36" i="3"/>
  <c r="Y68" i="3"/>
  <c r="Y84" i="3"/>
  <c r="B2" i="7"/>
  <c r="G2" i="7"/>
  <c r="B18" i="7"/>
  <c r="G18" i="7"/>
  <c r="B34" i="7"/>
  <c r="G34" i="7"/>
  <c r="B50" i="7"/>
  <c r="G50" i="7"/>
  <c r="B66" i="7"/>
  <c r="G66" i="7"/>
  <c r="B82" i="7"/>
  <c r="G82" i="7"/>
  <c r="B98" i="7"/>
  <c r="G98" i="7"/>
  <c r="B114" i="7"/>
  <c r="G114" i="7"/>
  <c r="B130" i="7"/>
  <c r="G130" i="7"/>
  <c r="B146" i="7"/>
  <c r="G146" i="7"/>
  <c r="B162" i="7"/>
  <c r="G162" i="7"/>
  <c r="B178" i="7"/>
  <c r="G178" i="7"/>
  <c r="B194" i="7"/>
  <c r="G194" i="7"/>
  <c r="G189" i="7"/>
  <c r="G61" i="7"/>
  <c r="Y4" i="3"/>
  <c r="Y52" i="3"/>
  <c r="Y100" i="3"/>
  <c r="Y5" i="3"/>
  <c r="Y21" i="3"/>
  <c r="Y37" i="3"/>
  <c r="Y53" i="3"/>
  <c r="Y69" i="3"/>
  <c r="Y85" i="3"/>
  <c r="Y101" i="3"/>
  <c r="B186" i="5"/>
  <c r="B3" i="7"/>
  <c r="G3" i="7"/>
  <c r="B19" i="7"/>
  <c r="G19" i="7"/>
  <c r="B35" i="7"/>
  <c r="G35" i="7"/>
  <c r="B51" i="7"/>
  <c r="G51" i="7"/>
  <c r="B67" i="7"/>
  <c r="G67" i="7"/>
  <c r="B83" i="7"/>
  <c r="G83" i="7"/>
  <c r="B99" i="7"/>
  <c r="G99" i="7"/>
  <c r="B115" i="7"/>
  <c r="G115" i="7"/>
  <c r="B131" i="7"/>
  <c r="G131" i="7"/>
  <c r="B147" i="7"/>
  <c r="G147" i="7"/>
  <c r="B163" i="7"/>
  <c r="G163" i="7"/>
  <c r="B179" i="7"/>
  <c r="G179" i="7"/>
  <c r="B195" i="7"/>
  <c r="G195" i="7"/>
  <c r="G175" i="7"/>
  <c r="G47" i="7"/>
  <c r="Y86" i="3"/>
  <c r="Y102" i="3"/>
  <c r="B4" i="7"/>
  <c r="G4" i="7"/>
  <c r="B20" i="7"/>
  <c r="G20" i="7"/>
  <c r="B36" i="7"/>
  <c r="G36" i="7"/>
  <c r="B52" i="7"/>
  <c r="G52" i="7"/>
  <c r="B68" i="7"/>
  <c r="G68" i="7"/>
  <c r="B84" i="7"/>
  <c r="G84" i="7"/>
  <c r="B100" i="7"/>
  <c r="G100" i="7"/>
  <c r="B116" i="7"/>
  <c r="G116" i="7"/>
  <c r="B132" i="7"/>
  <c r="G132" i="7"/>
  <c r="B148" i="7"/>
  <c r="G148" i="7"/>
  <c r="B164" i="7"/>
  <c r="G164" i="7"/>
  <c r="B180" i="7"/>
  <c r="G180" i="7"/>
  <c r="B196" i="7"/>
  <c r="G196" i="7"/>
  <c r="G173" i="7"/>
  <c r="G45" i="7"/>
  <c r="Y103" i="3"/>
  <c r="B5" i="7"/>
  <c r="G5" i="7"/>
  <c r="B21" i="7"/>
  <c r="G21" i="7"/>
  <c r="B37" i="7"/>
  <c r="G37" i="7"/>
  <c r="B53" i="7"/>
  <c r="G53" i="7"/>
  <c r="B69" i="7"/>
  <c r="G69" i="7"/>
  <c r="B85" i="7"/>
  <c r="G85" i="7"/>
  <c r="B101" i="7"/>
  <c r="G101" i="7"/>
  <c r="B117" i="7"/>
  <c r="G117" i="7"/>
  <c r="B133" i="7"/>
  <c r="G133" i="7"/>
  <c r="B149" i="7"/>
  <c r="G149" i="7"/>
  <c r="B165" i="7"/>
  <c r="G165" i="7"/>
  <c r="B181" i="7"/>
  <c r="G181" i="7"/>
  <c r="B197" i="7"/>
  <c r="G197" i="7"/>
  <c r="G159" i="7"/>
  <c r="G31" i="7"/>
  <c r="Y23" i="3"/>
  <c r="Y40" i="3"/>
  <c r="Y104" i="3"/>
  <c r="B173" i="5"/>
  <c r="B6" i="7"/>
  <c r="G6" i="7"/>
  <c r="B22" i="7"/>
  <c r="G22" i="7"/>
  <c r="B38" i="7"/>
  <c r="G38" i="7"/>
  <c r="B54" i="7"/>
  <c r="G54" i="7"/>
  <c r="B70" i="7"/>
  <c r="G70" i="7"/>
  <c r="B86" i="7"/>
  <c r="G86" i="7"/>
  <c r="B102" i="7"/>
  <c r="G102" i="7"/>
  <c r="B118" i="7"/>
  <c r="G118" i="7"/>
  <c r="B134" i="7"/>
  <c r="G134" i="7"/>
  <c r="B150" i="7"/>
  <c r="G150" i="7"/>
  <c r="B166" i="7"/>
  <c r="G166" i="7"/>
  <c r="B182" i="7"/>
  <c r="G182" i="7"/>
  <c r="B198" i="7"/>
  <c r="G198" i="7"/>
  <c r="G157" i="7"/>
  <c r="G29" i="7"/>
  <c r="Y39" i="3"/>
  <c r="Y25" i="3"/>
  <c r="Y57" i="3"/>
  <c r="Y105" i="3"/>
  <c r="B174" i="5"/>
  <c r="B7" i="7"/>
  <c r="G7" i="7"/>
  <c r="B23" i="7"/>
  <c r="G23" i="7"/>
  <c r="B39" i="7"/>
  <c r="G39" i="7"/>
  <c r="B55" i="7"/>
  <c r="G55" i="7"/>
  <c r="B71" i="7"/>
  <c r="G71" i="7"/>
  <c r="B87" i="7"/>
  <c r="G87" i="7"/>
  <c r="B103" i="7"/>
  <c r="G103" i="7"/>
  <c r="B119" i="7"/>
  <c r="G119" i="7"/>
  <c r="B135" i="7"/>
  <c r="G135" i="7"/>
  <c r="B151" i="7"/>
  <c r="G151" i="7"/>
  <c r="B167" i="7"/>
  <c r="G167" i="7"/>
  <c r="B183" i="7"/>
  <c r="G183" i="7"/>
  <c r="B199" i="7"/>
  <c r="G199" i="7"/>
  <c r="G143" i="7"/>
  <c r="G15" i="7"/>
  <c r="Y7" i="3"/>
  <c r="Y87" i="3"/>
  <c r="Y24" i="3"/>
  <c r="Y72" i="3"/>
  <c r="Y41" i="3"/>
  <c r="Y73" i="3"/>
  <c r="Y89" i="3"/>
  <c r="Y10" i="3"/>
  <c r="Y26" i="3"/>
  <c r="Y42" i="3"/>
  <c r="Y58" i="3"/>
  <c r="Y74" i="3"/>
  <c r="Y90" i="3"/>
  <c r="Y106" i="3"/>
  <c r="B175" i="5"/>
  <c r="B8" i="7"/>
  <c r="G8" i="7"/>
  <c r="B24" i="7"/>
  <c r="G24" i="7"/>
  <c r="B40" i="7"/>
  <c r="G40" i="7"/>
  <c r="B56" i="7"/>
  <c r="G56" i="7"/>
  <c r="B72" i="7"/>
  <c r="G72" i="7"/>
  <c r="B88" i="7"/>
  <c r="G88" i="7"/>
  <c r="B104" i="7"/>
  <c r="G104" i="7"/>
  <c r="B120" i="7"/>
  <c r="G120" i="7"/>
  <c r="B136" i="7"/>
  <c r="G136" i="7"/>
  <c r="B152" i="7"/>
  <c r="G152" i="7"/>
  <c r="B168" i="7"/>
  <c r="G168" i="7"/>
  <c r="B184" i="7"/>
  <c r="G184" i="7"/>
  <c r="B200" i="7"/>
  <c r="G200" i="7"/>
  <c r="G141" i="7"/>
  <c r="G13" i="7"/>
  <c r="Y8" i="3"/>
  <c r="Y88" i="3"/>
  <c r="Y11" i="3"/>
  <c r="Y43" i="3"/>
  <c r="Y75" i="3"/>
  <c r="Y91" i="3"/>
  <c r="Y107" i="3"/>
  <c r="B9" i="7"/>
  <c r="G9" i="7"/>
  <c r="B25" i="7"/>
  <c r="G25" i="7"/>
  <c r="B41" i="7"/>
  <c r="G41" i="7"/>
  <c r="B57" i="7"/>
  <c r="G57" i="7"/>
  <c r="B73" i="7"/>
  <c r="G73" i="7"/>
  <c r="B89" i="7"/>
  <c r="G89" i="7"/>
  <c r="B105" i="7"/>
  <c r="G105" i="7"/>
  <c r="B121" i="7"/>
  <c r="G121" i="7"/>
  <c r="B137" i="7"/>
  <c r="G137" i="7"/>
  <c r="B153" i="7"/>
  <c r="G153" i="7"/>
  <c r="B169" i="7"/>
  <c r="G169" i="7"/>
  <c r="B185" i="7"/>
  <c r="G185" i="7"/>
  <c r="B201" i="7"/>
  <c r="G201" i="7"/>
  <c r="G127" i="7"/>
  <c r="Y71" i="3"/>
  <c r="Y56" i="3"/>
  <c r="Y9" i="3"/>
  <c r="Y27" i="3"/>
  <c r="Y59" i="3"/>
  <c r="Y12" i="3"/>
  <c r="Y28" i="3"/>
  <c r="Y44" i="3"/>
  <c r="Y60" i="3"/>
  <c r="Y76" i="3"/>
  <c r="Y92" i="3"/>
  <c r="Y108" i="3"/>
  <c r="B10" i="7"/>
  <c r="G10" i="7"/>
  <c r="B26" i="7"/>
  <c r="G26" i="7"/>
  <c r="B42" i="7"/>
  <c r="G42" i="7"/>
  <c r="B58" i="7"/>
  <c r="G58" i="7"/>
  <c r="B74" i="7"/>
  <c r="G74" i="7"/>
  <c r="B90" i="7"/>
  <c r="G90" i="7"/>
  <c r="B106" i="7"/>
  <c r="G106" i="7"/>
  <c r="B122" i="7"/>
  <c r="G122" i="7"/>
  <c r="B138" i="7"/>
  <c r="G138" i="7"/>
  <c r="B154" i="7"/>
  <c r="G154" i="7"/>
  <c r="B170" i="7"/>
  <c r="G170" i="7"/>
  <c r="B186" i="7"/>
  <c r="G186" i="7"/>
  <c r="G125" i="7"/>
  <c r="Y55" i="3"/>
  <c r="Y13" i="3"/>
  <c r="Y45" i="3"/>
  <c r="Y93" i="3"/>
  <c r="Y109" i="3"/>
  <c r="B162" i="5"/>
  <c r="B11" i="7"/>
  <c r="G11" i="7"/>
  <c r="B27" i="7"/>
  <c r="G27" i="7"/>
  <c r="B43" i="7"/>
  <c r="G43" i="7"/>
  <c r="B59" i="7"/>
  <c r="G59" i="7"/>
  <c r="B75" i="7"/>
  <c r="G75" i="7"/>
  <c r="B91" i="7"/>
  <c r="G91" i="7"/>
  <c r="B107" i="7"/>
  <c r="G107" i="7"/>
  <c r="B123" i="7"/>
  <c r="G123" i="7"/>
  <c r="B139" i="7"/>
  <c r="G139" i="7"/>
  <c r="B155" i="7"/>
  <c r="G155" i="7"/>
  <c r="B171" i="7"/>
  <c r="G171" i="7"/>
  <c r="B187" i="7"/>
  <c r="G187" i="7"/>
  <c r="G111" i="7"/>
  <c r="Y29" i="3"/>
  <c r="Y61" i="3"/>
  <c r="Y77" i="3"/>
  <c r="Y14" i="3"/>
  <c r="Y30" i="3"/>
  <c r="Y46" i="3"/>
  <c r="Y62" i="3"/>
  <c r="Y78" i="3"/>
  <c r="Y94" i="3"/>
  <c r="Y110" i="3"/>
  <c r="B179" i="5"/>
  <c r="B12" i="7"/>
  <c r="G12" i="7"/>
  <c r="B28" i="7"/>
  <c r="G28" i="7"/>
  <c r="B44" i="7"/>
  <c r="G44" i="7"/>
  <c r="B60" i="7"/>
  <c r="G60" i="7"/>
  <c r="B76" i="7"/>
  <c r="G76" i="7"/>
  <c r="B92" i="7"/>
  <c r="G92" i="7"/>
  <c r="B108" i="7"/>
  <c r="G108" i="7"/>
  <c r="B124" i="7"/>
  <c r="G124" i="7"/>
  <c r="B140" i="7"/>
  <c r="G140" i="7"/>
  <c r="B156" i="7"/>
  <c r="G156" i="7"/>
  <c r="B172" i="7"/>
  <c r="G172" i="7"/>
  <c r="B188" i="7"/>
  <c r="G188" i="7"/>
  <c r="Y95" i="3"/>
  <c r="B196" i="5"/>
  <c r="B13" i="7"/>
  <c r="B29" i="7"/>
  <c r="B45" i="7"/>
  <c r="B61" i="7"/>
  <c r="B77" i="7"/>
  <c r="B93" i="7"/>
  <c r="B109" i="7"/>
  <c r="B125" i="7"/>
  <c r="B141" i="7"/>
  <c r="B157" i="7"/>
  <c r="B173" i="7"/>
  <c r="B189" i="7"/>
  <c r="Y80" i="3"/>
  <c r="Y96" i="3"/>
  <c r="B197" i="5"/>
  <c r="B14" i="7"/>
  <c r="G14" i="7"/>
  <c r="B30" i="7"/>
  <c r="G30" i="7"/>
  <c r="B46" i="7"/>
  <c r="G46" i="7"/>
  <c r="B62" i="7"/>
  <c r="G62" i="7"/>
  <c r="B78" i="7"/>
  <c r="G78" i="7"/>
  <c r="B94" i="7"/>
  <c r="G94" i="7"/>
  <c r="B110" i="7"/>
  <c r="G110" i="7"/>
  <c r="B126" i="7"/>
  <c r="G126" i="7"/>
  <c r="B142" i="7"/>
  <c r="G142" i="7"/>
  <c r="B158" i="7"/>
  <c r="G158" i="7"/>
  <c r="B174" i="7"/>
  <c r="G174" i="7"/>
  <c r="B190" i="7"/>
  <c r="G190" i="7"/>
  <c r="G93" i="7"/>
  <c r="B15" i="7"/>
  <c r="B31" i="7"/>
  <c r="B47" i="7"/>
  <c r="B63" i="7"/>
  <c r="B79" i="7"/>
  <c r="B95" i="7"/>
  <c r="B111" i="7"/>
  <c r="B127" i="7"/>
  <c r="B143" i="7"/>
  <c r="B159" i="7"/>
  <c r="B175" i="7"/>
  <c r="B191" i="7"/>
  <c r="G79" i="7"/>
  <c r="Y98" i="3"/>
  <c r="B199" i="5"/>
  <c r="B16" i="7"/>
  <c r="G16" i="7"/>
  <c r="B32" i="7"/>
  <c r="G32" i="7"/>
  <c r="B48" i="7"/>
  <c r="G48" i="7"/>
  <c r="B64" i="7"/>
  <c r="G64" i="7"/>
  <c r="B80" i="7"/>
  <c r="G80" i="7"/>
  <c r="B96" i="7"/>
  <c r="G96" i="7"/>
  <c r="B112" i="7"/>
  <c r="G112" i="7"/>
  <c r="B128" i="7"/>
  <c r="G128" i="7"/>
  <c r="B144" i="7"/>
  <c r="G144" i="7"/>
  <c r="B160" i="7"/>
  <c r="G160" i="7"/>
  <c r="B176" i="7"/>
  <c r="G176" i="7"/>
  <c r="B192" i="7"/>
  <c r="G192" i="7"/>
  <c r="G77" i="7"/>
  <c r="B16" i="3"/>
  <c r="H16" i="3" s="1"/>
  <c r="R16" i="3"/>
  <c r="B32" i="3"/>
  <c r="H32" i="3" s="1"/>
  <c r="R32" i="3"/>
  <c r="B48" i="3"/>
  <c r="H48" i="3" s="1"/>
  <c r="R48" i="3"/>
  <c r="B64" i="3"/>
  <c r="H64" i="3" s="1"/>
  <c r="R64" i="3"/>
  <c r="B80" i="3"/>
  <c r="H80" i="3" s="1"/>
  <c r="R80" i="3"/>
  <c r="B96" i="3"/>
  <c r="H96" i="3" s="1"/>
  <c r="R96" i="3"/>
  <c r="Y112" i="3"/>
  <c r="B112" i="3"/>
  <c r="H112" i="3" s="1"/>
  <c r="R112" i="3"/>
  <c r="Y128" i="3"/>
  <c r="B128" i="3"/>
  <c r="H128" i="3" s="1"/>
  <c r="R128" i="3"/>
  <c r="Y144" i="3"/>
  <c r="B144" i="3"/>
  <c r="H144" i="3" s="1"/>
  <c r="R144" i="3"/>
  <c r="Y160" i="3"/>
  <c r="B160" i="3"/>
  <c r="H160" i="3" s="1"/>
  <c r="R160" i="3"/>
  <c r="Y176" i="3"/>
  <c r="B176" i="3"/>
  <c r="H176" i="3" s="1"/>
  <c r="R176" i="3"/>
  <c r="Y192" i="3"/>
  <c r="B192" i="3"/>
  <c r="H192" i="3" s="1"/>
  <c r="R192" i="3"/>
  <c r="B17" i="3"/>
  <c r="H17" i="3" s="1"/>
  <c r="R17" i="3"/>
  <c r="R33" i="3"/>
  <c r="B33" i="3"/>
  <c r="H33" i="3" s="1"/>
  <c r="R49" i="3"/>
  <c r="B49" i="3"/>
  <c r="H49" i="3" s="1"/>
  <c r="B65" i="3"/>
  <c r="H65" i="3" s="1"/>
  <c r="R65" i="3"/>
  <c r="B81" i="3"/>
  <c r="H81" i="3" s="1"/>
  <c r="R81" i="3"/>
  <c r="B97" i="3"/>
  <c r="H97" i="3" s="1"/>
  <c r="R97" i="3"/>
  <c r="Y113" i="3"/>
  <c r="B113" i="3"/>
  <c r="H113" i="3" s="1"/>
  <c r="R113" i="3"/>
  <c r="Y129" i="3"/>
  <c r="R129" i="3"/>
  <c r="B129" i="3"/>
  <c r="H129" i="3" s="1"/>
  <c r="Y145" i="3"/>
  <c r="B145" i="3"/>
  <c r="H145" i="3" s="1"/>
  <c r="R145" i="3"/>
  <c r="Y161" i="3"/>
  <c r="B161" i="3"/>
  <c r="H161" i="3" s="1"/>
  <c r="R161" i="3"/>
  <c r="B177" i="3"/>
  <c r="H177" i="3" s="1"/>
  <c r="Y177" i="3"/>
  <c r="R177" i="3"/>
  <c r="B193" i="3"/>
  <c r="H193" i="3" s="1"/>
  <c r="Y193" i="3"/>
  <c r="R193" i="3"/>
  <c r="B18" i="3"/>
  <c r="H18" i="3" s="1"/>
  <c r="R18" i="3"/>
  <c r="B34" i="3"/>
  <c r="H34" i="3" s="1"/>
  <c r="R34" i="3"/>
  <c r="B50" i="3"/>
  <c r="H50" i="3" s="1"/>
  <c r="R50" i="3"/>
  <c r="B66" i="3"/>
  <c r="H66" i="3" s="1"/>
  <c r="R66" i="3"/>
  <c r="B82" i="3"/>
  <c r="H82" i="3" s="1"/>
  <c r="R82" i="3"/>
  <c r="B98" i="3"/>
  <c r="H98" i="3" s="1"/>
  <c r="R98" i="3"/>
  <c r="Y114" i="3"/>
  <c r="B114" i="3"/>
  <c r="H114" i="3" s="1"/>
  <c r="R114" i="3"/>
  <c r="Y130" i="3"/>
  <c r="B130" i="3"/>
  <c r="H130" i="3" s="1"/>
  <c r="R130" i="3"/>
  <c r="Y146" i="3"/>
  <c r="B146" i="3"/>
  <c r="H146" i="3" s="1"/>
  <c r="R146" i="3"/>
  <c r="Y162" i="3"/>
  <c r="B162" i="3"/>
  <c r="H162" i="3" s="1"/>
  <c r="R162" i="3"/>
  <c r="Y178" i="3"/>
  <c r="B178" i="3"/>
  <c r="H178" i="3" s="1"/>
  <c r="R178" i="3"/>
  <c r="Y194" i="3"/>
  <c r="B194" i="3"/>
  <c r="H194" i="3" s="1"/>
  <c r="R194" i="3"/>
  <c r="B19" i="3"/>
  <c r="H19" i="3" s="1"/>
  <c r="R19" i="3"/>
  <c r="B35" i="3"/>
  <c r="H35" i="3" s="1"/>
  <c r="R35" i="3"/>
  <c r="B51" i="3"/>
  <c r="H51" i="3" s="1"/>
  <c r="R51" i="3"/>
  <c r="B67" i="3"/>
  <c r="H67" i="3" s="1"/>
  <c r="R67" i="3"/>
  <c r="B83" i="3"/>
  <c r="H83" i="3" s="1"/>
  <c r="R83" i="3"/>
  <c r="B99" i="3"/>
  <c r="H99" i="3" s="1"/>
  <c r="R99" i="3"/>
  <c r="Y115" i="3"/>
  <c r="B115" i="3"/>
  <c r="H115" i="3" s="1"/>
  <c r="R115" i="3"/>
  <c r="Y131" i="3"/>
  <c r="B131" i="3"/>
  <c r="H131" i="3" s="1"/>
  <c r="R131" i="3"/>
  <c r="Y147" i="3"/>
  <c r="B147" i="3"/>
  <c r="H147" i="3" s="1"/>
  <c r="R147" i="3"/>
  <c r="Y163" i="3"/>
  <c r="B163" i="3"/>
  <c r="H163" i="3" s="1"/>
  <c r="R163" i="3"/>
  <c r="Y179" i="3"/>
  <c r="B179" i="3"/>
  <c r="H179" i="3" s="1"/>
  <c r="R179" i="3"/>
  <c r="Y195" i="3"/>
  <c r="B195" i="3"/>
  <c r="H195" i="3" s="1"/>
  <c r="R195" i="3"/>
  <c r="B4" i="3"/>
  <c r="R4" i="3"/>
  <c r="B20" i="3"/>
  <c r="H20" i="3" s="1"/>
  <c r="R20" i="3"/>
  <c r="B36" i="3"/>
  <c r="H36" i="3" s="1"/>
  <c r="R36" i="3"/>
  <c r="B52" i="3"/>
  <c r="H52" i="3" s="1"/>
  <c r="R52" i="3"/>
  <c r="B68" i="3"/>
  <c r="H68" i="3" s="1"/>
  <c r="R68" i="3"/>
  <c r="B84" i="3"/>
  <c r="H84" i="3" s="1"/>
  <c r="R84" i="3"/>
  <c r="B100" i="3"/>
  <c r="H100" i="3" s="1"/>
  <c r="R100" i="3"/>
  <c r="Y116" i="3"/>
  <c r="B116" i="3"/>
  <c r="H116" i="3" s="1"/>
  <c r="R116" i="3"/>
  <c r="Y132" i="3"/>
  <c r="B132" i="3"/>
  <c r="H132" i="3" s="1"/>
  <c r="R132" i="3"/>
  <c r="Y148" i="3"/>
  <c r="B148" i="3"/>
  <c r="H148" i="3" s="1"/>
  <c r="R148" i="3"/>
  <c r="Y164" i="3"/>
  <c r="B164" i="3"/>
  <c r="H164" i="3" s="1"/>
  <c r="R164" i="3"/>
  <c r="Y180" i="3"/>
  <c r="B180" i="3"/>
  <c r="H180" i="3" s="1"/>
  <c r="R180" i="3"/>
  <c r="Y196" i="3"/>
  <c r="B196" i="3"/>
  <c r="H196" i="3" s="1"/>
  <c r="R196" i="3"/>
  <c r="B5" i="3"/>
  <c r="R5" i="3"/>
  <c r="B21" i="3"/>
  <c r="H21" i="3" s="1"/>
  <c r="R21" i="3"/>
  <c r="B37" i="3"/>
  <c r="H37" i="3" s="1"/>
  <c r="R37" i="3"/>
  <c r="B53" i="3"/>
  <c r="H53" i="3" s="1"/>
  <c r="R53" i="3"/>
  <c r="B69" i="3"/>
  <c r="H69" i="3" s="1"/>
  <c r="R69" i="3"/>
  <c r="B85" i="3"/>
  <c r="H85" i="3" s="1"/>
  <c r="R85" i="3"/>
  <c r="B101" i="3"/>
  <c r="H101" i="3" s="1"/>
  <c r="R101" i="3"/>
  <c r="B117" i="3"/>
  <c r="H117" i="3" s="1"/>
  <c r="Y117" i="3"/>
  <c r="R117" i="3"/>
  <c r="B133" i="3"/>
  <c r="H133" i="3" s="1"/>
  <c r="Y133" i="3"/>
  <c r="R133" i="3"/>
  <c r="B149" i="3"/>
  <c r="H149" i="3" s="1"/>
  <c r="Y149" i="3"/>
  <c r="R149" i="3"/>
  <c r="B165" i="3"/>
  <c r="H165" i="3" s="1"/>
  <c r="R165" i="3"/>
  <c r="Y165" i="3"/>
  <c r="B181" i="3"/>
  <c r="H181" i="3" s="1"/>
  <c r="Y181" i="3"/>
  <c r="R181" i="3"/>
  <c r="B197" i="3"/>
  <c r="H197" i="3" s="1"/>
  <c r="Y197" i="3"/>
  <c r="R197" i="3"/>
  <c r="R6" i="3"/>
  <c r="B6" i="3"/>
  <c r="H6" i="3" s="1"/>
  <c r="R22" i="3"/>
  <c r="B22" i="3"/>
  <c r="H22" i="3" s="1"/>
  <c r="R38" i="3"/>
  <c r="B38" i="3"/>
  <c r="H38" i="3" s="1"/>
  <c r="R54" i="3"/>
  <c r="B54" i="3"/>
  <c r="H54" i="3" s="1"/>
  <c r="R70" i="3"/>
  <c r="B70" i="3"/>
  <c r="H70" i="3" s="1"/>
  <c r="R86" i="3"/>
  <c r="B86" i="3"/>
  <c r="H86" i="3" s="1"/>
  <c r="R102" i="3"/>
  <c r="B102" i="3"/>
  <c r="H102" i="3" s="1"/>
  <c r="Y118" i="3"/>
  <c r="R118" i="3"/>
  <c r="B118" i="3"/>
  <c r="H118" i="3" s="1"/>
  <c r="Y134" i="3"/>
  <c r="R134" i="3"/>
  <c r="B134" i="3"/>
  <c r="H134" i="3" s="1"/>
  <c r="Y150" i="3"/>
  <c r="R150" i="3"/>
  <c r="B150" i="3"/>
  <c r="H150" i="3" s="1"/>
  <c r="Y166" i="3"/>
  <c r="R166" i="3"/>
  <c r="B166" i="3"/>
  <c r="H166" i="3" s="1"/>
  <c r="Y182" i="3"/>
  <c r="R182" i="3"/>
  <c r="B182" i="3"/>
  <c r="H182" i="3" s="1"/>
  <c r="Y198" i="3"/>
  <c r="R198" i="3"/>
  <c r="B198" i="3"/>
  <c r="H198" i="3" s="1"/>
  <c r="R7" i="3"/>
  <c r="B7" i="3"/>
  <c r="H7" i="3" s="1"/>
  <c r="R23" i="3"/>
  <c r="B23" i="3"/>
  <c r="H23" i="3" s="1"/>
  <c r="R39" i="3"/>
  <c r="B39" i="3"/>
  <c r="H39" i="3" s="1"/>
  <c r="R55" i="3"/>
  <c r="B55" i="3"/>
  <c r="H55" i="3" s="1"/>
  <c r="R71" i="3"/>
  <c r="B71" i="3"/>
  <c r="H71" i="3" s="1"/>
  <c r="R87" i="3"/>
  <c r="B87" i="3"/>
  <c r="H87" i="3" s="1"/>
  <c r="R103" i="3"/>
  <c r="B103" i="3"/>
  <c r="H103" i="3" s="1"/>
  <c r="Y119" i="3"/>
  <c r="R119" i="3"/>
  <c r="B119" i="3"/>
  <c r="H119" i="3" s="1"/>
  <c r="Y135" i="3"/>
  <c r="R135" i="3"/>
  <c r="B135" i="3"/>
  <c r="H135" i="3" s="1"/>
  <c r="Y151" i="3"/>
  <c r="R151" i="3"/>
  <c r="B151" i="3"/>
  <c r="H151" i="3" s="1"/>
  <c r="Y167" i="3"/>
  <c r="B167" i="3"/>
  <c r="H167" i="3" s="1"/>
  <c r="R167" i="3"/>
  <c r="Y183" i="3"/>
  <c r="R183" i="3"/>
  <c r="B183" i="3"/>
  <c r="H183" i="3" s="1"/>
  <c r="Y199" i="3"/>
  <c r="R199" i="3"/>
  <c r="B199" i="3"/>
  <c r="H199" i="3" s="1"/>
  <c r="R8" i="3"/>
  <c r="B8" i="3"/>
  <c r="H8" i="3" s="1"/>
  <c r="R24" i="3"/>
  <c r="B24" i="3"/>
  <c r="H24" i="3" s="1"/>
  <c r="R40" i="3"/>
  <c r="B40" i="3"/>
  <c r="H40" i="3" s="1"/>
  <c r="R56" i="3"/>
  <c r="B56" i="3"/>
  <c r="H56" i="3" s="1"/>
  <c r="R72" i="3"/>
  <c r="B72" i="3"/>
  <c r="H72" i="3" s="1"/>
  <c r="B88" i="3"/>
  <c r="H88" i="3" s="1"/>
  <c r="R88" i="3"/>
  <c r="B104" i="3"/>
  <c r="H104" i="3" s="1"/>
  <c r="R104" i="3"/>
  <c r="Y120" i="3"/>
  <c r="B120" i="3"/>
  <c r="H120" i="3" s="1"/>
  <c r="R120" i="3"/>
  <c r="Y136" i="3"/>
  <c r="B136" i="3"/>
  <c r="H136" i="3" s="1"/>
  <c r="R136" i="3"/>
  <c r="Y152" i="3"/>
  <c r="R152" i="3"/>
  <c r="B152" i="3"/>
  <c r="H152" i="3" s="1"/>
  <c r="Y168" i="3"/>
  <c r="B168" i="3"/>
  <c r="H168" i="3" s="1"/>
  <c r="R168" i="3"/>
  <c r="Y184" i="3"/>
  <c r="B184" i="3"/>
  <c r="H184" i="3" s="1"/>
  <c r="R184" i="3"/>
  <c r="Y200" i="3"/>
  <c r="R200" i="3"/>
  <c r="B200" i="3"/>
  <c r="H200" i="3" s="1"/>
  <c r="B9" i="3"/>
  <c r="H9" i="3" s="1"/>
  <c r="R9" i="3"/>
  <c r="B25" i="3"/>
  <c r="H25" i="3" s="1"/>
  <c r="R25" i="3"/>
  <c r="B41" i="3"/>
  <c r="H41" i="3" s="1"/>
  <c r="R41" i="3"/>
  <c r="B57" i="3"/>
  <c r="H57" i="3" s="1"/>
  <c r="R57" i="3"/>
  <c r="R73" i="3"/>
  <c r="B73" i="3"/>
  <c r="H73" i="3" s="1"/>
  <c r="R89" i="3"/>
  <c r="B89" i="3"/>
  <c r="H89" i="3" s="1"/>
  <c r="R105" i="3"/>
  <c r="B105" i="3"/>
  <c r="H105" i="3" s="1"/>
  <c r="Y121" i="3"/>
  <c r="B121" i="3"/>
  <c r="H121" i="3" s="1"/>
  <c r="R121" i="3"/>
  <c r="Y137" i="3"/>
  <c r="R137" i="3"/>
  <c r="B137" i="3"/>
  <c r="H137" i="3" s="1"/>
  <c r="Y153" i="3"/>
  <c r="R153" i="3"/>
  <c r="B153" i="3"/>
  <c r="H153" i="3" s="1"/>
  <c r="Y169" i="3"/>
  <c r="R169" i="3"/>
  <c r="B169" i="3"/>
  <c r="H169" i="3" s="1"/>
  <c r="Y185" i="3"/>
  <c r="R185" i="3"/>
  <c r="B185" i="3"/>
  <c r="H185" i="3" s="1"/>
  <c r="Y201" i="3"/>
  <c r="R201" i="3"/>
  <c r="B201" i="3"/>
  <c r="H201" i="3" s="1"/>
  <c r="R10" i="3"/>
  <c r="B10" i="3"/>
  <c r="H10" i="3" s="1"/>
  <c r="R26" i="3"/>
  <c r="B26" i="3"/>
  <c r="H26" i="3" s="1"/>
  <c r="R42" i="3"/>
  <c r="B42" i="3"/>
  <c r="H42" i="3" s="1"/>
  <c r="R58" i="3"/>
  <c r="B58" i="3"/>
  <c r="H58" i="3" s="1"/>
  <c r="R74" i="3"/>
  <c r="B74" i="3"/>
  <c r="H74" i="3" s="1"/>
  <c r="B90" i="3"/>
  <c r="H90" i="3" s="1"/>
  <c r="R90" i="3"/>
  <c r="R106" i="3"/>
  <c r="B106" i="3"/>
  <c r="H106" i="3" s="1"/>
  <c r="B122" i="3"/>
  <c r="H122" i="3" s="1"/>
  <c r="Y122" i="3"/>
  <c r="R122" i="3"/>
  <c r="B138" i="3"/>
  <c r="H138" i="3" s="1"/>
  <c r="Y138" i="3"/>
  <c r="R138" i="3"/>
  <c r="R154" i="3"/>
  <c r="Y154" i="3"/>
  <c r="B154" i="3"/>
  <c r="H154" i="3" s="1"/>
  <c r="B170" i="3"/>
  <c r="H170" i="3" s="1"/>
  <c r="Y170" i="3"/>
  <c r="R170" i="3"/>
  <c r="B186" i="3"/>
  <c r="H186" i="3" s="1"/>
  <c r="Y186" i="3"/>
  <c r="R186" i="3"/>
  <c r="Y202" i="3"/>
  <c r="R202" i="3"/>
  <c r="B202" i="3"/>
  <c r="H202" i="3" s="1"/>
  <c r="B11" i="3"/>
  <c r="H11" i="3" s="1"/>
  <c r="R11" i="3"/>
  <c r="B27" i="3"/>
  <c r="H27" i="3" s="1"/>
  <c r="R27" i="3"/>
  <c r="B43" i="3"/>
  <c r="H43" i="3" s="1"/>
  <c r="R43" i="3"/>
  <c r="B59" i="3"/>
  <c r="H59" i="3" s="1"/>
  <c r="R59" i="3"/>
  <c r="B75" i="3"/>
  <c r="H75" i="3" s="1"/>
  <c r="R75" i="3"/>
  <c r="B91" i="3"/>
  <c r="H91" i="3" s="1"/>
  <c r="R91" i="3"/>
  <c r="B107" i="3"/>
  <c r="H107" i="3" s="1"/>
  <c r="R107" i="3"/>
  <c r="B123" i="3"/>
  <c r="H123" i="3" s="1"/>
  <c r="R123" i="3"/>
  <c r="Y123" i="3"/>
  <c r="B139" i="3"/>
  <c r="H139" i="3" s="1"/>
  <c r="Y139" i="3"/>
  <c r="R139" i="3"/>
  <c r="B155" i="3"/>
  <c r="H155" i="3" s="1"/>
  <c r="R155" i="3"/>
  <c r="Y155" i="3"/>
  <c r="B171" i="3"/>
  <c r="H171" i="3" s="1"/>
  <c r="Y171" i="3"/>
  <c r="R171" i="3"/>
  <c r="B187" i="3"/>
  <c r="H187" i="3" s="1"/>
  <c r="Y187" i="3"/>
  <c r="R187" i="3"/>
  <c r="B12" i="3"/>
  <c r="H12" i="3" s="1"/>
  <c r="R12" i="3"/>
  <c r="B28" i="3"/>
  <c r="H28" i="3" s="1"/>
  <c r="R28" i="3"/>
  <c r="B44" i="3"/>
  <c r="H44" i="3" s="1"/>
  <c r="R44" i="3"/>
  <c r="B60" i="3"/>
  <c r="H60" i="3" s="1"/>
  <c r="R60" i="3"/>
  <c r="B76" i="3"/>
  <c r="H76" i="3" s="1"/>
  <c r="R76" i="3"/>
  <c r="B92" i="3"/>
  <c r="H92" i="3" s="1"/>
  <c r="R92" i="3"/>
  <c r="B108" i="3"/>
  <c r="H108" i="3" s="1"/>
  <c r="R108" i="3"/>
  <c r="B124" i="3"/>
  <c r="H124" i="3" s="1"/>
  <c r="Y124" i="3"/>
  <c r="R124" i="3"/>
  <c r="B140" i="3"/>
  <c r="H140" i="3" s="1"/>
  <c r="Y140" i="3"/>
  <c r="R140" i="3"/>
  <c r="B156" i="3"/>
  <c r="H156" i="3" s="1"/>
  <c r="R156" i="3"/>
  <c r="Y156" i="3"/>
  <c r="B172" i="3"/>
  <c r="H172" i="3" s="1"/>
  <c r="Y172" i="3"/>
  <c r="R172" i="3"/>
  <c r="B188" i="3"/>
  <c r="H188" i="3" s="1"/>
  <c r="Y188" i="3"/>
  <c r="R188" i="3"/>
  <c r="B3" i="3"/>
  <c r="H3" i="3" s="1"/>
  <c r="B13" i="3"/>
  <c r="H13" i="3" s="1"/>
  <c r="R13" i="3"/>
  <c r="B29" i="3"/>
  <c r="H29" i="3" s="1"/>
  <c r="R29" i="3"/>
  <c r="B45" i="3"/>
  <c r="H45" i="3" s="1"/>
  <c r="R45" i="3"/>
  <c r="B61" i="3"/>
  <c r="H61" i="3" s="1"/>
  <c r="R61" i="3"/>
  <c r="B77" i="3"/>
  <c r="H77" i="3" s="1"/>
  <c r="R77" i="3"/>
  <c r="B93" i="3"/>
  <c r="H93" i="3" s="1"/>
  <c r="R93" i="3"/>
  <c r="B109" i="3"/>
  <c r="H109" i="3" s="1"/>
  <c r="R109" i="3"/>
  <c r="B125" i="3"/>
  <c r="H125" i="3" s="1"/>
  <c r="Y125" i="3"/>
  <c r="R125" i="3"/>
  <c r="B141" i="3"/>
  <c r="H141" i="3" s="1"/>
  <c r="R141" i="3"/>
  <c r="Y141" i="3"/>
  <c r="B157" i="3"/>
  <c r="H157" i="3" s="1"/>
  <c r="Y157" i="3"/>
  <c r="R157" i="3"/>
  <c r="B173" i="3"/>
  <c r="H173" i="3" s="1"/>
  <c r="Y173" i="3"/>
  <c r="R173" i="3"/>
  <c r="B189" i="3"/>
  <c r="H189" i="3" s="1"/>
  <c r="R189" i="3"/>
  <c r="Y189" i="3"/>
  <c r="B14" i="3"/>
  <c r="H14" i="3" s="1"/>
  <c r="R14" i="3"/>
  <c r="B30" i="3"/>
  <c r="H30" i="3" s="1"/>
  <c r="R30" i="3"/>
  <c r="B46" i="3"/>
  <c r="H46" i="3" s="1"/>
  <c r="R46" i="3"/>
  <c r="B62" i="3"/>
  <c r="H62" i="3" s="1"/>
  <c r="R62" i="3"/>
  <c r="B78" i="3"/>
  <c r="H78" i="3" s="1"/>
  <c r="R78" i="3"/>
  <c r="B94" i="3"/>
  <c r="H94" i="3" s="1"/>
  <c r="R94" i="3"/>
  <c r="B110" i="3"/>
  <c r="H110" i="3" s="1"/>
  <c r="R110" i="3"/>
  <c r="B126" i="3"/>
  <c r="H126" i="3" s="1"/>
  <c r="Y126" i="3"/>
  <c r="R126" i="3"/>
  <c r="B142" i="3"/>
  <c r="H142" i="3" s="1"/>
  <c r="Y142" i="3"/>
  <c r="R142" i="3"/>
  <c r="B158" i="3"/>
  <c r="H158" i="3" s="1"/>
  <c r="Y158" i="3"/>
  <c r="R158" i="3"/>
  <c r="B174" i="3"/>
  <c r="H174" i="3" s="1"/>
  <c r="Y174" i="3"/>
  <c r="R174" i="3"/>
  <c r="B190" i="3"/>
  <c r="H190" i="3" s="1"/>
  <c r="R190" i="3"/>
  <c r="Y190" i="3"/>
  <c r="B15" i="3"/>
  <c r="H15" i="3" s="1"/>
  <c r="R15" i="3"/>
  <c r="B31" i="3"/>
  <c r="H31" i="3" s="1"/>
  <c r="R31" i="3"/>
  <c r="B47" i="3"/>
  <c r="H47" i="3" s="1"/>
  <c r="R47" i="3"/>
  <c r="B63" i="3"/>
  <c r="H63" i="3" s="1"/>
  <c r="R63" i="3"/>
  <c r="B79" i="3"/>
  <c r="H79" i="3" s="1"/>
  <c r="R79" i="3"/>
  <c r="B95" i="3"/>
  <c r="H95" i="3" s="1"/>
  <c r="R95" i="3"/>
  <c r="Y111" i="3"/>
  <c r="B111" i="3"/>
  <c r="H111" i="3" s="1"/>
  <c r="R111" i="3"/>
  <c r="Y127" i="3"/>
  <c r="B127" i="3"/>
  <c r="H127" i="3" s="1"/>
  <c r="R127" i="3"/>
  <c r="Y143" i="3"/>
  <c r="B143" i="3"/>
  <c r="H143" i="3" s="1"/>
  <c r="R143" i="3"/>
  <c r="Y159" i="3"/>
  <c r="B159" i="3"/>
  <c r="H159" i="3" s="1"/>
  <c r="R159" i="3"/>
  <c r="Y175" i="3"/>
  <c r="B175" i="3"/>
  <c r="H175" i="3" s="1"/>
  <c r="R175" i="3"/>
  <c r="Y191" i="3"/>
  <c r="B191" i="3"/>
  <c r="H191" i="3" s="1"/>
  <c r="R191" i="3"/>
  <c r="S173" i="7"/>
  <c r="S162" i="7"/>
  <c r="S182" i="7"/>
  <c r="S6" i="7"/>
  <c r="S22" i="7"/>
  <c r="S38" i="7"/>
  <c r="S54" i="7"/>
  <c r="S70" i="7"/>
  <c r="S185" i="7"/>
  <c r="S20" i="7"/>
  <c r="S36" i="7"/>
  <c r="S52" i="7"/>
  <c r="S68" i="7"/>
  <c r="S4" i="7"/>
  <c r="S9" i="7"/>
  <c r="S41" i="7"/>
  <c r="S57" i="7"/>
  <c r="S25" i="7"/>
  <c r="S171" i="7"/>
  <c r="S191" i="7"/>
  <c r="S172" i="7"/>
  <c r="S3" i="7"/>
  <c r="S19" i="7"/>
  <c r="S35" i="7"/>
  <c r="S51" i="7"/>
  <c r="S67" i="7"/>
  <c r="S183" i="7"/>
  <c r="S7" i="7"/>
  <c r="S23" i="7"/>
  <c r="S39" i="7"/>
  <c r="S55" i="7"/>
  <c r="S167" i="7"/>
  <c r="S164" i="7"/>
  <c r="S69" i="7"/>
  <c r="S53" i="7"/>
  <c r="S37" i="7"/>
  <c r="S21" i="7"/>
  <c r="S5" i="7"/>
  <c r="S180" i="7"/>
  <c r="S184" i="7"/>
  <c r="S8" i="7"/>
  <c r="S24" i="7"/>
  <c r="S40" i="7"/>
  <c r="S56" i="7"/>
  <c r="S165" i="7"/>
  <c r="S196" i="7"/>
  <c r="S72" i="7"/>
  <c r="S197" i="7"/>
  <c r="S166" i="7"/>
  <c r="S198" i="7"/>
  <c r="S179" i="7"/>
  <c r="S42" i="7"/>
  <c r="S199" i="7"/>
  <c r="S26" i="7"/>
  <c r="S58" i="7"/>
  <c r="S169" i="7"/>
  <c r="S10" i="7"/>
  <c r="S168" i="7"/>
  <c r="S170" i="7"/>
  <c r="S181" i="7"/>
  <c r="S190" i="7"/>
  <c r="S201" i="7"/>
  <c r="S192" i="7"/>
  <c r="S60" i="7"/>
  <c r="S13" i="7"/>
  <c r="S29" i="7"/>
  <c r="S45" i="7"/>
  <c r="S61" i="7"/>
  <c r="S186" i="7"/>
  <c r="S27" i="7"/>
  <c r="S28" i="7"/>
  <c r="S14" i="7"/>
  <c r="S30" i="7"/>
  <c r="S46" i="7"/>
  <c r="S62" i="7"/>
  <c r="S177" i="7"/>
  <c r="S59" i="7"/>
  <c r="S15" i="7"/>
  <c r="S31" i="7"/>
  <c r="S47" i="7"/>
  <c r="S63" i="7"/>
  <c r="S12" i="7"/>
  <c r="S16" i="7"/>
  <c r="S32" i="7"/>
  <c r="S48" i="7"/>
  <c r="S64" i="7"/>
  <c r="S178" i="7"/>
  <c r="S188" i="7"/>
  <c r="S11" i="7"/>
  <c r="S44" i="7"/>
  <c r="S17" i="7"/>
  <c r="S33" i="7"/>
  <c r="S49" i="7"/>
  <c r="S65" i="7"/>
  <c r="S174" i="7"/>
  <c r="S43" i="7"/>
  <c r="S175" i="7"/>
  <c r="S18" i="7"/>
  <c r="S34" i="7"/>
  <c r="S50" i="7"/>
  <c r="S66" i="7"/>
  <c r="S189" i="7"/>
  <c r="S193" i="7"/>
  <c r="S200" i="7"/>
  <c r="S194" i="7"/>
  <c r="S187" i="7"/>
  <c r="S195" i="7"/>
  <c r="S163" i="7"/>
  <c r="S176" i="7"/>
  <c r="H4" i="3" l="1"/>
  <c r="H5" i="3"/>
  <c r="G22" i="10"/>
  <c r="G34" i="10"/>
  <c r="G40" i="10"/>
  <c r="G45" i="10"/>
  <c r="G50" i="10"/>
  <c r="G55" i="10"/>
  <c r="G60" i="10"/>
  <c r="G65" i="10"/>
  <c r="G70" i="10"/>
  <c r="G74" i="10"/>
  <c r="G79" i="10"/>
  <c r="G84" i="10"/>
  <c r="G89" i="10"/>
  <c r="G94" i="10"/>
  <c r="G99" i="10"/>
  <c r="G104" i="10"/>
  <c r="G108" i="10"/>
  <c r="G113" i="10"/>
  <c r="G118" i="10"/>
  <c r="G123" i="10"/>
  <c r="G128" i="10"/>
  <c r="G132" i="10"/>
  <c r="G137" i="10"/>
  <c r="G142" i="10"/>
  <c r="G147" i="10"/>
  <c r="G152" i="10"/>
  <c r="G157" i="10"/>
  <c r="G161" i="10"/>
  <c r="G166" i="10"/>
  <c r="G171" i="10"/>
  <c r="G175" i="10"/>
  <c r="G180" i="10"/>
  <c r="G185" i="10"/>
  <c r="G190" i="10"/>
  <c r="G196" i="10"/>
  <c r="G201" i="10"/>
  <c r="H12" i="10"/>
  <c r="I12" i="10" s="1"/>
  <c r="H17" i="10"/>
  <c r="H22" i="10"/>
  <c r="H27" i="10"/>
  <c r="H32" i="10"/>
  <c r="H36" i="10"/>
  <c r="H40" i="10"/>
  <c r="H43" i="10"/>
  <c r="H46" i="10"/>
  <c r="H49" i="10"/>
  <c r="H52" i="10"/>
  <c r="H55" i="10"/>
  <c r="H58" i="10"/>
  <c r="H61" i="10"/>
  <c r="H64" i="10"/>
  <c r="H67" i="10"/>
  <c r="H70" i="10"/>
  <c r="H73" i="10"/>
  <c r="H76" i="10"/>
  <c r="H81" i="10"/>
  <c r="H86" i="10"/>
  <c r="H91" i="10"/>
  <c r="H95" i="10"/>
  <c r="H100" i="10"/>
  <c r="H105" i="10"/>
  <c r="H110" i="10"/>
  <c r="H115" i="10"/>
  <c r="H119" i="10"/>
  <c r="H124" i="10"/>
  <c r="H129" i="10"/>
  <c r="H134" i="10"/>
  <c r="H138" i="10"/>
  <c r="H142" i="10"/>
  <c r="H147" i="10"/>
  <c r="H152" i="10"/>
  <c r="H157" i="10"/>
  <c r="H161" i="10"/>
  <c r="H166" i="10"/>
  <c r="H171" i="10"/>
  <c r="H175" i="10"/>
  <c r="H180" i="10"/>
  <c r="H185" i="10"/>
  <c r="H190" i="10"/>
  <c r="H195" i="10"/>
  <c r="H199" i="10"/>
  <c r="G23" i="10"/>
  <c r="G32" i="10"/>
  <c r="G38" i="10"/>
  <c r="G43" i="10"/>
  <c r="G47" i="10"/>
  <c r="G52" i="10"/>
  <c r="G57" i="10"/>
  <c r="G62" i="10"/>
  <c r="G67" i="10"/>
  <c r="G72" i="10"/>
  <c r="G77" i="10"/>
  <c r="G81" i="10"/>
  <c r="G86" i="10"/>
  <c r="G91" i="10"/>
  <c r="G96" i="10"/>
  <c r="G101" i="10"/>
  <c r="G106" i="10"/>
  <c r="G111" i="10"/>
  <c r="G115" i="10"/>
  <c r="G120" i="10"/>
  <c r="G125" i="10"/>
  <c r="G130" i="10"/>
  <c r="G135" i="10"/>
  <c r="G141" i="10"/>
  <c r="G146" i="10"/>
  <c r="G151" i="10"/>
  <c r="G156" i="10"/>
  <c r="G160" i="10"/>
  <c r="G165" i="10"/>
  <c r="G170" i="10"/>
  <c r="G174" i="10"/>
  <c r="G181" i="10"/>
  <c r="G186" i="10"/>
  <c r="G191" i="10"/>
  <c r="G195" i="10"/>
  <c r="G200" i="10"/>
  <c r="H10" i="10"/>
  <c r="I10" i="10" s="1"/>
  <c r="H15" i="10"/>
  <c r="H20" i="10"/>
  <c r="H25" i="10"/>
  <c r="H30" i="10"/>
  <c r="H35" i="10"/>
  <c r="H39" i="10"/>
  <c r="H42" i="10"/>
  <c r="H45" i="10"/>
  <c r="H48" i="10"/>
  <c r="H51" i="10"/>
  <c r="H54" i="10"/>
  <c r="H57" i="10"/>
  <c r="H60" i="10"/>
  <c r="H63" i="10"/>
  <c r="H66" i="10"/>
  <c r="H69" i="10"/>
  <c r="H72" i="10"/>
  <c r="H75" i="10"/>
  <c r="H80" i="10"/>
  <c r="H85" i="10"/>
  <c r="H89" i="10"/>
  <c r="H94" i="10"/>
  <c r="H99" i="10"/>
  <c r="H104" i="10"/>
  <c r="H109" i="10"/>
  <c r="H113" i="10"/>
  <c r="H118" i="10"/>
  <c r="H123" i="10"/>
  <c r="H128" i="10"/>
  <c r="H133" i="10"/>
  <c r="H139" i="10"/>
  <c r="H143" i="10"/>
  <c r="H148" i="10"/>
  <c r="H153" i="10"/>
  <c r="H158" i="10"/>
  <c r="H163" i="10"/>
  <c r="H168" i="10"/>
  <c r="H172" i="10"/>
  <c r="H177" i="10"/>
  <c r="H182" i="10"/>
  <c r="H187" i="10"/>
  <c r="H192" i="10"/>
  <c r="H197" i="10"/>
  <c r="G15" i="10"/>
  <c r="G16" i="10"/>
  <c r="G18" i="10"/>
  <c r="G19" i="10"/>
  <c r="G21" i="10"/>
  <c r="G24" i="10"/>
  <c r="G26" i="10"/>
  <c r="G27" i="10"/>
  <c r="G29" i="10"/>
  <c r="G31" i="10"/>
  <c r="G33" i="10"/>
  <c r="G36" i="10"/>
  <c r="G37" i="10"/>
  <c r="G41" i="10"/>
  <c r="G42" i="10"/>
  <c r="I42" i="10" s="1"/>
  <c r="G46" i="10"/>
  <c r="G48" i="10"/>
  <c r="I48" i="10" s="1"/>
  <c r="G51" i="10"/>
  <c r="I51" i="10" s="1"/>
  <c r="G53" i="10"/>
  <c r="G56" i="10"/>
  <c r="G58" i="10"/>
  <c r="G61" i="10"/>
  <c r="G63" i="10"/>
  <c r="I63" i="10" s="1"/>
  <c r="G66" i="10"/>
  <c r="I66" i="10" s="1"/>
  <c r="G69" i="10"/>
  <c r="I69" i="10" s="1"/>
  <c r="G71" i="10"/>
  <c r="G75" i="10"/>
  <c r="I75" i="10" s="1"/>
  <c r="G76" i="10"/>
  <c r="G80" i="10"/>
  <c r="G82" i="10"/>
  <c r="G85" i="10"/>
  <c r="G87" i="10"/>
  <c r="G90" i="10"/>
  <c r="G92" i="10"/>
  <c r="G95" i="10"/>
  <c r="G97" i="10"/>
  <c r="G100" i="10"/>
  <c r="G103" i="10"/>
  <c r="G105" i="10"/>
  <c r="G109" i="10"/>
  <c r="G110" i="10"/>
  <c r="G114" i="10"/>
  <c r="G116" i="10"/>
  <c r="G119" i="10"/>
  <c r="G121" i="10"/>
  <c r="G124" i="10"/>
  <c r="G127" i="10"/>
  <c r="G129" i="10"/>
  <c r="G133" i="10"/>
  <c r="G134" i="10"/>
  <c r="G138" i="10"/>
  <c r="G139" i="10"/>
  <c r="G143" i="10"/>
  <c r="G144" i="10"/>
  <c r="G148" i="10"/>
  <c r="G149" i="10"/>
  <c r="G153" i="10"/>
  <c r="G155" i="10"/>
  <c r="G158" i="10"/>
  <c r="G162" i="10"/>
  <c r="G163" i="10"/>
  <c r="G167" i="10"/>
  <c r="G168" i="10"/>
  <c r="G172" i="10"/>
  <c r="G176" i="10"/>
  <c r="G177" i="10"/>
  <c r="G178" i="10"/>
  <c r="G182" i="10"/>
  <c r="G183" i="10"/>
  <c r="G187" i="10"/>
  <c r="G188" i="10"/>
  <c r="G192" i="10"/>
  <c r="G193" i="10"/>
  <c r="G197" i="10"/>
  <c r="G198" i="10"/>
  <c r="H11" i="10"/>
  <c r="I11" i="10" s="1"/>
  <c r="H13" i="10"/>
  <c r="I13" i="10" s="1"/>
  <c r="H16" i="10"/>
  <c r="H18" i="10"/>
  <c r="H21" i="10"/>
  <c r="H23" i="10"/>
  <c r="H26" i="10"/>
  <c r="H28" i="10"/>
  <c r="H31" i="10"/>
  <c r="H34" i="10"/>
  <c r="H37" i="10"/>
  <c r="H77" i="10"/>
  <c r="H79" i="10"/>
  <c r="H82" i="10"/>
  <c r="H84" i="10"/>
  <c r="H87" i="10"/>
  <c r="H90" i="10"/>
  <c r="H92" i="10"/>
  <c r="H96" i="10"/>
  <c r="H97" i="10"/>
  <c r="H101" i="10"/>
  <c r="H103" i="10"/>
  <c r="H106" i="10"/>
  <c r="H108" i="10"/>
  <c r="H111" i="10"/>
  <c r="H114" i="10"/>
  <c r="H116" i="10"/>
  <c r="H120" i="10"/>
  <c r="H121" i="10"/>
  <c r="H125" i="10"/>
  <c r="H126" i="10"/>
  <c r="H130" i="10"/>
  <c r="H132" i="10"/>
  <c r="H135" i="10"/>
  <c r="H137" i="10"/>
  <c r="H140" i="10"/>
  <c r="H144" i="10"/>
  <c r="H145" i="10"/>
  <c r="H149" i="10"/>
  <c r="H150" i="10"/>
  <c r="H154" i="10"/>
  <c r="H156" i="10"/>
  <c r="H159" i="10"/>
  <c r="H162" i="10"/>
  <c r="H164" i="10"/>
  <c r="H167" i="10"/>
  <c r="H169" i="10"/>
  <c r="H173" i="10"/>
  <c r="H176" i="10"/>
  <c r="H178" i="10"/>
  <c r="H181" i="10"/>
  <c r="H183" i="10"/>
  <c r="H186" i="10"/>
  <c r="H188" i="10"/>
  <c r="H191" i="10"/>
  <c r="H193" i="10"/>
  <c r="H196" i="10"/>
  <c r="H198" i="10"/>
  <c r="H201" i="10"/>
  <c r="G14" i="10"/>
  <c r="G17" i="10"/>
  <c r="G20" i="10"/>
  <c r="G25" i="10"/>
  <c r="G28" i="10"/>
  <c r="G30" i="10"/>
  <c r="G35" i="10"/>
  <c r="G39" i="10"/>
  <c r="G44" i="10"/>
  <c r="G49" i="10"/>
  <c r="G54" i="10"/>
  <c r="G59" i="10"/>
  <c r="G64" i="10"/>
  <c r="G68" i="10"/>
  <c r="G73" i="10"/>
  <c r="G78" i="10"/>
  <c r="G83" i="10"/>
  <c r="G88" i="10"/>
  <c r="G93" i="10"/>
  <c r="G98" i="10"/>
  <c r="G102" i="10"/>
  <c r="G107" i="10"/>
  <c r="G112" i="10"/>
  <c r="G117" i="10"/>
  <c r="G122" i="10"/>
  <c r="G126" i="10"/>
  <c r="G131" i="10"/>
  <c r="G136" i="10"/>
  <c r="G140" i="10"/>
  <c r="G145" i="10"/>
  <c r="G150" i="10"/>
  <c r="G154" i="10"/>
  <c r="G159" i="10"/>
  <c r="G164" i="10"/>
  <c r="G169" i="10"/>
  <c r="G173" i="10"/>
  <c r="G179" i="10"/>
  <c r="G184" i="10"/>
  <c r="G189" i="10"/>
  <c r="G194" i="10"/>
  <c r="G199" i="10"/>
  <c r="H14" i="10"/>
  <c r="H19" i="10"/>
  <c r="H24" i="10"/>
  <c r="H29" i="10"/>
  <c r="H33" i="10"/>
  <c r="H38" i="10"/>
  <c r="H41" i="10"/>
  <c r="H44" i="10"/>
  <c r="H47" i="10"/>
  <c r="H50" i="10"/>
  <c r="H53" i="10"/>
  <c r="H56" i="10"/>
  <c r="H59" i="10"/>
  <c r="H62" i="10"/>
  <c r="H65" i="10"/>
  <c r="H68" i="10"/>
  <c r="H71" i="10"/>
  <c r="H74" i="10"/>
  <c r="H78" i="10"/>
  <c r="H83" i="10"/>
  <c r="H88" i="10"/>
  <c r="H93" i="10"/>
  <c r="H98" i="10"/>
  <c r="H102" i="10"/>
  <c r="H107" i="10"/>
  <c r="H112" i="10"/>
  <c r="H117" i="10"/>
  <c r="H122" i="10"/>
  <c r="H127" i="10"/>
  <c r="H131" i="10"/>
  <c r="H136" i="10"/>
  <c r="H141" i="10"/>
  <c r="H146" i="10"/>
  <c r="H151" i="10"/>
  <c r="H155" i="10"/>
  <c r="H160" i="10"/>
  <c r="H165" i="10"/>
  <c r="H170" i="10"/>
  <c r="H174" i="10"/>
  <c r="H179" i="10"/>
  <c r="H184" i="10"/>
  <c r="H189" i="10"/>
  <c r="H194" i="10"/>
  <c r="H200" i="10"/>
  <c r="A2" i="4"/>
  <c r="C2" i="7" s="1"/>
  <c r="A3" i="4"/>
  <c r="B3" i="4" s="1"/>
  <c r="A4" i="4"/>
  <c r="B4" i="4" s="1"/>
  <c r="A5" i="2"/>
  <c r="A5" i="4"/>
  <c r="B5" i="4" s="1"/>
  <c r="A21" i="4"/>
  <c r="B21" i="4" s="1"/>
  <c r="A37" i="4"/>
  <c r="B37" i="4" s="1"/>
  <c r="A53" i="4"/>
  <c r="B53" i="4" s="1"/>
  <c r="A69" i="4"/>
  <c r="B69" i="4" s="1"/>
  <c r="A85" i="4"/>
  <c r="B85" i="4" s="1"/>
  <c r="A101" i="4"/>
  <c r="B101" i="4" s="1"/>
  <c r="A117" i="4"/>
  <c r="B117" i="4" s="1"/>
  <c r="A133" i="4"/>
  <c r="B133" i="4" s="1"/>
  <c r="A149" i="4"/>
  <c r="B149" i="4" s="1"/>
  <c r="A156" i="4"/>
  <c r="B156" i="4" s="1"/>
  <c r="A165" i="4"/>
  <c r="B165" i="4" s="1"/>
  <c r="A172" i="4"/>
  <c r="B172" i="4" s="1"/>
  <c r="A173" i="4"/>
  <c r="B173" i="4" s="1"/>
  <c r="A180" i="4"/>
  <c r="B180" i="4" s="1"/>
  <c r="A181" i="4"/>
  <c r="B181" i="4" s="1"/>
  <c r="A187" i="4"/>
  <c r="B187" i="4" s="1"/>
  <c r="A188" i="4"/>
  <c r="B188" i="4" s="1"/>
  <c r="A189" i="4"/>
  <c r="B189" i="4" s="1"/>
  <c r="A195" i="4"/>
  <c r="B195" i="4" s="1"/>
  <c r="A196" i="4"/>
  <c r="B196" i="4" s="1"/>
  <c r="A197" i="4"/>
  <c r="B197" i="4" s="1"/>
  <c r="A201" i="4"/>
  <c r="B201" i="4" s="1"/>
  <c r="A200" i="4"/>
  <c r="B200" i="4" s="1"/>
  <c r="A199" i="4"/>
  <c r="B199" i="4" s="1"/>
  <c r="A198" i="4"/>
  <c r="B198" i="4" s="1"/>
  <c r="A194" i="4"/>
  <c r="B194" i="4" s="1"/>
  <c r="A193" i="4"/>
  <c r="B193" i="4" s="1"/>
  <c r="A192" i="4"/>
  <c r="B192" i="4" s="1"/>
  <c r="A191" i="4"/>
  <c r="B191" i="4" s="1"/>
  <c r="A190" i="4"/>
  <c r="B190" i="4" s="1"/>
  <c r="A186" i="4"/>
  <c r="B186" i="4" s="1"/>
  <c r="A185" i="4"/>
  <c r="B185" i="4" s="1"/>
  <c r="A184" i="4"/>
  <c r="B184" i="4" s="1"/>
  <c r="A183" i="4"/>
  <c r="B183" i="4" s="1"/>
  <c r="A182" i="4"/>
  <c r="B182" i="4" s="1"/>
  <c r="A179" i="4"/>
  <c r="B179" i="4" s="1"/>
  <c r="A178" i="4"/>
  <c r="B178" i="4" s="1"/>
  <c r="A177" i="4"/>
  <c r="B177" i="4" s="1"/>
  <c r="A176" i="4"/>
  <c r="B176" i="4" s="1"/>
  <c r="A175" i="4"/>
  <c r="B175" i="4" s="1"/>
  <c r="A174" i="4"/>
  <c r="B174" i="4" s="1"/>
  <c r="A171" i="4"/>
  <c r="B171" i="4" s="1"/>
  <c r="A170" i="4"/>
  <c r="B170" i="4" s="1"/>
  <c r="A169" i="4"/>
  <c r="B169" i="4" s="1"/>
  <c r="A168" i="4"/>
  <c r="B168" i="4" s="1"/>
  <c r="A167" i="4"/>
  <c r="B167" i="4" s="1"/>
  <c r="A166" i="4"/>
  <c r="B166" i="4" s="1"/>
  <c r="A164" i="4"/>
  <c r="B164" i="4" s="1"/>
  <c r="A163" i="4"/>
  <c r="B163" i="4" s="1"/>
  <c r="A162" i="4"/>
  <c r="B162" i="4" s="1"/>
  <c r="A161" i="4"/>
  <c r="B161" i="4" s="1"/>
  <c r="A160" i="4"/>
  <c r="B160" i="4" s="1"/>
  <c r="A159" i="4"/>
  <c r="B159" i="4" s="1"/>
  <c r="A158" i="4"/>
  <c r="B158" i="4" s="1"/>
  <c r="A157" i="4"/>
  <c r="B157" i="4" s="1"/>
  <c r="A155" i="4"/>
  <c r="B155" i="4" s="1"/>
  <c r="A154" i="4"/>
  <c r="B154" i="4" s="1"/>
  <c r="A153" i="4"/>
  <c r="B153" i="4" s="1"/>
  <c r="A152" i="4"/>
  <c r="B152" i="4" s="1"/>
  <c r="A151" i="4"/>
  <c r="B151" i="4" s="1"/>
  <c r="A150" i="4"/>
  <c r="B150" i="4" s="1"/>
  <c r="A148" i="4"/>
  <c r="B148" i="4" s="1"/>
  <c r="A147" i="4"/>
  <c r="B147" i="4" s="1"/>
  <c r="A146" i="4"/>
  <c r="B146" i="4" s="1"/>
  <c r="A145" i="4"/>
  <c r="B145" i="4" s="1"/>
  <c r="A144" i="4"/>
  <c r="B144" i="4" s="1"/>
  <c r="A143" i="4"/>
  <c r="B143" i="4" s="1"/>
  <c r="A142" i="4"/>
  <c r="B142" i="4" s="1"/>
  <c r="A141" i="4"/>
  <c r="B141" i="4" s="1"/>
  <c r="A140" i="4"/>
  <c r="B140" i="4" s="1"/>
  <c r="A139" i="4"/>
  <c r="B139" i="4" s="1"/>
  <c r="A138" i="4"/>
  <c r="B138" i="4" s="1"/>
  <c r="A137" i="4"/>
  <c r="B137" i="4" s="1"/>
  <c r="A136" i="4"/>
  <c r="B136" i="4" s="1"/>
  <c r="A135" i="4"/>
  <c r="B135" i="4" s="1"/>
  <c r="A134" i="4"/>
  <c r="B134" i="4" s="1"/>
  <c r="A132" i="4"/>
  <c r="B132" i="4" s="1"/>
  <c r="A131" i="4"/>
  <c r="B131" i="4" s="1"/>
  <c r="A130" i="4"/>
  <c r="B130" i="4" s="1"/>
  <c r="A129" i="4"/>
  <c r="B129" i="4" s="1"/>
  <c r="A128" i="4"/>
  <c r="B128" i="4" s="1"/>
  <c r="A127" i="4"/>
  <c r="B127" i="4" s="1"/>
  <c r="A126" i="4"/>
  <c r="B126" i="4" s="1"/>
  <c r="A125" i="4"/>
  <c r="B125" i="4" s="1"/>
  <c r="A124" i="4"/>
  <c r="B124" i="4" s="1"/>
  <c r="A123" i="4"/>
  <c r="B123" i="4" s="1"/>
  <c r="A122" i="4"/>
  <c r="B122" i="4" s="1"/>
  <c r="A121" i="4"/>
  <c r="B121" i="4" s="1"/>
  <c r="A120" i="4"/>
  <c r="B120" i="4" s="1"/>
  <c r="A119" i="4"/>
  <c r="B119" i="4" s="1"/>
  <c r="A118" i="4"/>
  <c r="B118" i="4" s="1"/>
  <c r="A116" i="4"/>
  <c r="B116" i="4" s="1"/>
  <c r="A115" i="4"/>
  <c r="B115" i="4" s="1"/>
  <c r="A114" i="4"/>
  <c r="B114" i="4" s="1"/>
  <c r="A113" i="4"/>
  <c r="B113" i="4" s="1"/>
  <c r="A112" i="4"/>
  <c r="B112" i="4" s="1"/>
  <c r="A111" i="4"/>
  <c r="B111" i="4" s="1"/>
  <c r="A110" i="4"/>
  <c r="B110" i="4" s="1"/>
  <c r="A109" i="4"/>
  <c r="B109" i="4" s="1"/>
  <c r="A108" i="4"/>
  <c r="B108" i="4" s="1"/>
  <c r="A107" i="4"/>
  <c r="B107" i="4" s="1"/>
  <c r="A106" i="4"/>
  <c r="B106" i="4" s="1"/>
  <c r="A105" i="4"/>
  <c r="B105" i="4" s="1"/>
  <c r="A104" i="4"/>
  <c r="B104" i="4" s="1"/>
  <c r="A103" i="4"/>
  <c r="B103" i="4" s="1"/>
  <c r="A102" i="4"/>
  <c r="B102" i="4" s="1"/>
  <c r="A100" i="4"/>
  <c r="B100" i="4" s="1"/>
  <c r="A99" i="4"/>
  <c r="B99" i="4" s="1"/>
  <c r="A98" i="4"/>
  <c r="B98" i="4" s="1"/>
  <c r="A97" i="4"/>
  <c r="B97" i="4" s="1"/>
  <c r="A96" i="4"/>
  <c r="B96" i="4" s="1"/>
  <c r="A95" i="4"/>
  <c r="B95" i="4" s="1"/>
  <c r="A94" i="4"/>
  <c r="B94" i="4" s="1"/>
  <c r="A93" i="4"/>
  <c r="B93" i="4" s="1"/>
  <c r="A92" i="4"/>
  <c r="B92" i="4" s="1"/>
  <c r="A91" i="4"/>
  <c r="B91" i="4" s="1"/>
  <c r="A90" i="4"/>
  <c r="B90" i="4" s="1"/>
  <c r="A89" i="4"/>
  <c r="B89" i="4" s="1"/>
  <c r="A88" i="4"/>
  <c r="B88" i="4" s="1"/>
  <c r="A87" i="4"/>
  <c r="B87" i="4" s="1"/>
  <c r="A86" i="4"/>
  <c r="B86" i="4" s="1"/>
  <c r="A84" i="4"/>
  <c r="B84" i="4" s="1"/>
  <c r="A83" i="4"/>
  <c r="B83" i="4" s="1"/>
  <c r="A82" i="4"/>
  <c r="B82" i="4" s="1"/>
  <c r="A81" i="4"/>
  <c r="B81" i="4" s="1"/>
  <c r="A80" i="4"/>
  <c r="B80" i="4" s="1"/>
  <c r="A79" i="4"/>
  <c r="B79" i="4" s="1"/>
  <c r="A78" i="4"/>
  <c r="B78" i="4" s="1"/>
  <c r="A77" i="4"/>
  <c r="B77" i="4" s="1"/>
  <c r="A76" i="4"/>
  <c r="B76" i="4" s="1"/>
  <c r="A75" i="4"/>
  <c r="B75" i="4" s="1"/>
  <c r="A74" i="4"/>
  <c r="B74" i="4" s="1"/>
  <c r="A73" i="4"/>
  <c r="B73" i="4" s="1"/>
  <c r="A72" i="4"/>
  <c r="B72" i="4" s="1"/>
  <c r="A71" i="4"/>
  <c r="B71" i="4" s="1"/>
  <c r="A70" i="4"/>
  <c r="B70" i="4" s="1"/>
  <c r="A68" i="4"/>
  <c r="B68" i="4" s="1"/>
  <c r="A67" i="4"/>
  <c r="B67" i="4" s="1"/>
  <c r="A66" i="4"/>
  <c r="B66" i="4" s="1"/>
  <c r="A65" i="4"/>
  <c r="B65" i="4" s="1"/>
  <c r="A64" i="4"/>
  <c r="B64" i="4" s="1"/>
  <c r="A63" i="4"/>
  <c r="B63" i="4" s="1"/>
  <c r="A62" i="4"/>
  <c r="B62" i="4" s="1"/>
  <c r="A61" i="4"/>
  <c r="B61" i="4" s="1"/>
  <c r="A60" i="4"/>
  <c r="B60" i="4" s="1"/>
  <c r="A59" i="4"/>
  <c r="B59" i="4" s="1"/>
  <c r="A58" i="4"/>
  <c r="B58" i="4" s="1"/>
  <c r="A57" i="4"/>
  <c r="B57" i="4" s="1"/>
  <c r="A56" i="4"/>
  <c r="B56" i="4" s="1"/>
  <c r="A55" i="4"/>
  <c r="B55" i="4" s="1"/>
  <c r="A54" i="4"/>
  <c r="B54" i="4" s="1"/>
  <c r="A52" i="4"/>
  <c r="B52" i="4" s="1"/>
  <c r="A51" i="4"/>
  <c r="B51" i="4" s="1"/>
  <c r="A50" i="4"/>
  <c r="B50" i="4" s="1"/>
  <c r="A49" i="4"/>
  <c r="B49" i="4" s="1"/>
  <c r="A48" i="4"/>
  <c r="B48" i="4" s="1"/>
  <c r="A47" i="4"/>
  <c r="B47" i="4" s="1"/>
  <c r="A46" i="4"/>
  <c r="B46" i="4" s="1"/>
  <c r="A45" i="4"/>
  <c r="B45" i="4" s="1"/>
  <c r="A44" i="4"/>
  <c r="B44" i="4" s="1"/>
  <c r="A43" i="4"/>
  <c r="B43" i="4" s="1"/>
  <c r="A42" i="4"/>
  <c r="B42" i="4" s="1"/>
  <c r="A41" i="4"/>
  <c r="B41" i="4" s="1"/>
  <c r="A40" i="4"/>
  <c r="B40" i="4" s="1"/>
  <c r="A39" i="4"/>
  <c r="B39" i="4" s="1"/>
  <c r="A38" i="4"/>
  <c r="B38" i="4" s="1"/>
  <c r="A36" i="4"/>
  <c r="B36" i="4" s="1"/>
  <c r="A35" i="4"/>
  <c r="B35" i="4" s="1"/>
  <c r="A34" i="4"/>
  <c r="B34" i="4" s="1"/>
  <c r="A33" i="4"/>
  <c r="B33" i="4" s="1"/>
  <c r="A32" i="4"/>
  <c r="B32" i="4" s="1"/>
  <c r="A31" i="4"/>
  <c r="B31" i="4" s="1"/>
  <c r="A30" i="4"/>
  <c r="B30" i="4" s="1"/>
  <c r="A29" i="4"/>
  <c r="B29" i="4" s="1"/>
  <c r="A28" i="4"/>
  <c r="B28" i="4" s="1"/>
  <c r="A27" i="4"/>
  <c r="B27" i="4" s="1"/>
  <c r="A26" i="4"/>
  <c r="B26" i="4" s="1"/>
  <c r="A25" i="4"/>
  <c r="B25" i="4" s="1"/>
  <c r="A24" i="4"/>
  <c r="B24" i="4" s="1"/>
  <c r="A23" i="4"/>
  <c r="B23" i="4" s="1"/>
  <c r="A22" i="4"/>
  <c r="B22" i="4" s="1"/>
  <c r="A20" i="4"/>
  <c r="B20" i="4" s="1"/>
  <c r="A19" i="4"/>
  <c r="B19" i="4" s="1"/>
  <c r="A18" i="4"/>
  <c r="B18" i="4" s="1"/>
  <c r="A17" i="4"/>
  <c r="B17" i="4" s="1"/>
  <c r="A16" i="4"/>
  <c r="B16" i="4" s="1"/>
  <c r="A15" i="4"/>
  <c r="B15" i="4" s="1"/>
  <c r="A14" i="4"/>
  <c r="B14" i="4" s="1"/>
  <c r="A13" i="4"/>
  <c r="A12" i="4"/>
  <c r="B12" i="4" s="1"/>
  <c r="A11" i="4"/>
  <c r="B11" i="4" s="1"/>
  <c r="A9" i="4"/>
  <c r="B9" i="4" s="1"/>
  <c r="A8" i="4"/>
  <c r="B8" i="4" s="1"/>
  <c r="A7" i="4"/>
  <c r="B7" i="4" s="1"/>
  <c r="A6" i="4"/>
  <c r="B6" i="4" s="1"/>
  <c r="I17" i="10" l="1"/>
  <c r="I28" i="10"/>
  <c r="I49" i="10"/>
  <c r="I199" i="10"/>
  <c r="B13" i="4"/>
  <c r="N13" i="4"/>
  <c r="N10" i="4"/>
  <c r="I32" i="10"/>
  <c r="I43" i="10"/>
  <c r="I52" i="10"/>
  <c r="I67" i="10"/>
  <c r="I81" i="10"/>
  <c r="I86" i="10"/>
  <c r="I91" i="10"/>
  <c r="I115" i="10"/>
  <c r="I27" i="10"/>
  <c r="I36" i="10"/>
  <c r="I46" i="10"/>
  <c r="I58" i="10"/>
  <c r="I61" i="10"/>
  <c r="I76" i="10"/>
  <c r="I80" i="10"/>
  <c r="I85" i="10"/>
  <c r="I95" i="10"/>
  <c r="I100" i="10"/>
  <c r="I105" i="10"/>
  <c r="I109" i="10"/>
  <c r="I110" i="10"/>
  <c r="I119" i="10"/>
  <c r="I124" i="10"/>
  <c r="I129" i="10"/>
  <c r="I20" i="10"/>
  <c r="I25" i="10"/>
  <c r="I35" i="10"/>
  <c r="I39" i="10"/>
  <c r="I30" i="10"/>
  <c r="I54" i="10"/>
  <c r="I64" i="10"/>
  <c r="I73" i="10"/>
  <c r="I126" i="10"/>
  <c r="I140" i="10"/>
  <c r="I145" i="10"/>
  <c r="I150" i="10"/>
  <c r="I154" i="10"/>
  <c r="I159" i="10"/>
  <c r="I164" i="10"/>
  <c r="I169" i="10"/>
  <c r="I173" i="10"/>
  <c r="I92" i="10"/>
  <c r="I121" i="10"/>
  <c r="I15" i="10"/>
  <c r="I16" i="10"/>
  <c r="I18" i="10"/>
  <c r="I21" i="10"/>
  <c r="I26" i="10"/>
  <c r="I31" i="10"/>
  <c r="I37" i="10"/>
  <c r="I114" i="10"/>
  <c r="I82" i="10"/>
  <c r="I87" i="10"/>
  <c r="I97" i="10"/>
  <c r="I103" i="10"/>
  <c r="I90" i="10"/>
  <c r="I116" i="10"/>
  <c r="I146" i="10"/>
  <c r="I151" i="10"/>
  <c r="I156" i="10"/>
  <c r="I160" i="10"/>
  <c r="I165" i="10"/>
  <c r="I170" i="10"/>
  <c r="I174" i="10"/>
  <c r="I181" i="10"/>
  <c r="I186" i="10"/>
  <c r="I191" i="10"/>
  <c r="I195" i="10"/>
  <c r="I200" i="10"/>
  <c r="I59" i="10"/>
  <c r="I98" i="10"/>
  <c r="I136" i="10"/>
  <c r="I133" i="10"/>
  <c r="I134" i="10"/>
  <c r="I138" i="10"/>
  <c r="I139" i="10"/>
  <c r="I143" i="10"/>
  <c r="I144" i="10"/>
  <c r="I148" i="10"/>
  <c r="I149" i="10"/>
  <c r="I153" i="10"/>
  <c r="I155" i="10"/>
  <c r="I158" i="10"/>
  <c r="I162" i="10"/>
  <c r="I163" i="10"/>
  <c r="I167" i="10"/>
  <c r="I168" i="10"/>
  <c r="I172" i="10"/>
  <c r="I176" i="10"/>
  <c r="I177" i="10"/>
  <c r="I178" i="10"/>
  <c r="I182" i="10"/>
  <c r="I183" i="10"/>
  <c r="I187" i="10"/>
  <c r="I188" i="10"/>
  <c r="I192" i="10"/>
  <c r="I193" i="10"/>
  <c r="I197" i="10"/>
  <c r="I198" i="10"/>
  <c r="I68" i="10"/>
  <c r="I88" i="10"/>
  <c r="I107" i="10"/>
  <c r="I184" i="10"/>
  <c r="I55" i="10"/>
  <c r="I94" i="10"/>
  <c r="I118" i="10"/>
  <c r="I142" i="10"/>
  <c r="I166" i="10"/>
  <c r="I190" i="10"/>
  <c r="I23" i="10"/>
  <c r="I47" i="10"/>
  <c r="I72" i="10"/>
  <c r="I96" i="10"/>
  <c r="I120" i="10"/>
  <c r="I14" i="10"/>
  <c r="I112" i="10"/>
  <c r="I194" i="10"/>
  <c r="I34" i="10"/>
  <c r="I79" i="10"/>
  <c r="I104" i="10"/>
  <c r="I128" i="10"/>
  <c r="I152" i="10"/>
  <c r="I175" i="10"/>
  <c r="I201" i="10"/>
  <c r="I38" i="10"/>
  <c r="I57" i="10"/>
  <c r="I77" i="10"/>
  <c r="I101" i="10"/>
  <c r="I125" i="10"/>
  <c r="I53" i="10"/>
  <c r="I78" i="10"/>
  <c r="I117" i="10"/>
  <c r="I189" i="10"/>
  <c r="I40" i="10"/>
  <c r="I89" i="10"/>
  <c r="I113" i="10"/>
  <c r="I137" i="10"/>
  <c r="I161" i="10"/>
  <c r="I185" i="10"/>
  <c r="I62" i="10"/>
  <c r="I111" i="10"/>
  <c r="I135" i="10"/>
  <c r="I19" i="10"/>
  <c r="I93" i="10"/>
  <c r="I131" i="10"/>
  <c r="I22" i="10"/>
  <c r="I45" i="10"/>
  <c r="I50" i="10"/>
  <c r="I60" i="10"/>
  <c r="I65" i="10"/>
  <c r="I70" i="10"/>
  <c r="I74" i="10"/>
  <c r="I84" i="10"/>
  <c r="I99" i="10"/>
  <c r="I108" i="10"/>
  <c r="I123" i="10"/>
  <c r="I132" i="10"/>
  <c r="I147" i="10"/>
  <c r="I157" i="10"/>
  <c r="I171" i="10"/>
  <c r="I180" i="10"/>
  <c r="I196" i="10"/>
  <c r="I106" i="10"/>
  <c r="I130" i="10"/>
  <c r="I141" i="10"/>
  <c r="I24" i="10"/>
  <c r="I29" i="10"/>
  <c r="I33" i="10"/>
  <c r="I41" i="10"/>
  <c r="I56" i="10"/>
  <c r="I71" i="10"/>
  <c r="I127" i="10"/>
  <c r="I44" i="10"/>
  <c r="I83" i="10"/>
  <c r="I102" i="10"/>
  <c r="I122" i="10"/>
  <c r="I179" i="10"/>
  <c r="U201" i="7"/>
  <c r="U189" i="7"/>
  <c r="U180" i="7"/>
  <c r="U169" i="7"/>
  <c r="U200" i="7"/>
  <c r="U188" i="7"/>
  <c r="N164" i="5"/>
  <c r="U168" i="7"/>
  <c r="N163" i="5"/>
  <c r="U198" i="7"/>
  <c r="U187" i="7"/>
  <c r="U167" i="7"/>
  <c r="U197" i="7"/>
  <c r="N201" i="5"/>
  <c r="U175" i="7"/>
  <c r="U165" i="7"/>
  <c r="N192" i="5"/>
  <c r="U185" i="7"/>
  <c r="N191" i="5"/>
  <c r="U195" i="7"/>
  <c r="U174" i="7"/>
  <c r="U164" i="7"/>
  <c r="N190" i="5"/>
  <c r="U184" i="7"/>
  <c r="N185" i="5"/>
  <c r="U173" i="7"/>
  <c r="U183" i="7"/>
  <c r="U162" i="7"/>
  <c r="N183" i="5"/>
  <c r="N181" i="5"/>
  <c r="N180" i="5"/>
  <c r="U181" i="7"/>
  <c r="N169" i="5"/>
  <c r="N167" i="5"/>
  <c r="N184" i="5"/>
  <c r="N174" i="5"/>
  <c r="N197" i="5"/>
  <c r="N168" i="5"/>
  <c r="N186" i="5"/>
  <c r="N175" i="5"/>
  <c r="N179" i="5"/>
  <c r="N196" i="5"/>
  <c r="N199" i="5"/>
  <c r="N162" i="5"/>
  <c r="N200" i="5"/>
  <c r="N173" i="5"/>
  <c r="N106" i="5"/>
  <c r="N146" i="5"/>
  <c r="U177" i="7"/>
  <c r="N111" i="5"/>
  <c r="N144" i="5"/>
  <c r="N189" i="5"/>
  <c r="N80" i="5"/>
  <c r="N46" i="5"/>
  <c r="N11" i="5"/>
  <c r="N91" i="5"/>
  <c r="N60" i="5"/>
  <c r="N139" i="5"/>
  <c r="N49" i="5"/>
  <c r="N113" i="5"/>
  <c r="N43" i="5"/>
  <c r="N99" i="5"/>
  <c r="N114" i="5"/>
  <c r="N53" i="5"/>
  <c r="N42" i="5"/>
  <c r="N61" i="5"/>
  <c r="N132" i="5"/>
  <c r="N41" i="5"/>
  <c r="N65" i="5"/>
  <c r="N69" i="5"/>
  <c r="N34" i="5"/>
  <c r="N187" i="5"/>
  <c r="N15" i="5"/>
  <c r="N93" i="5"/>
  <c r="N39" i="5"/>
  <c r="N152" i="5"/>
  <c r="N121" i="5"/>
  <c r="N171" i="5"/>
  <c r="N78" i="5"/>
  <c r="N10" i="5"/>
  <c r="N64" i="5"/>
  <c r="N151" i="5"/>
  <c r="N103" i="5"/>
  <c r="N122" i="5"/>
  <c r="N8" i="5"/>
  <c r="N70" i="5"/>
  <c r="N107" i="5"/>
  <c r="N198" i="5"/>
  <c r="N147" i="5"/>
  <c r="N45" i="5"/>
  <c r="N153" i="5"/>
  <c r="N118" i="5"/>
  <c r="U186" i="7"/>
  <c r="N172" i="5"/>
  <c r="N74" i="5"/>
  <c r="N7" i="5"/>
  <c r="N68" i="5"/>
  <c r="N156" i="5"/>
  <c r="N137" i="5"/>
  <c r="N6" i="5"/>
  <c r="N76" i="5"/>
  <c r="N100" i="5"/>
  <c r="N29" i="5"/>
  <c r="N96" i="5"/>
  <c r="N89" i="5"/>
  <c r="N194" i="5"/>
  <c r="U166" i="7"/>
  <c r="N149" i="5"/>
  <c r="N82" i="5"/>
  <c r="N150" i="5"/>
  <c r="N2" i="5"/>
  <c r="N3" i="3" s="1"/>
  <c r="N77" i="5"/>
  <c r="N136" i="5"/>
  <c r="N50" i="5"/>
  <c r="N160" i="5"/>
  <c r="N148" i="5"/>
  <c r="U170" i="7"/>
  <c r="N176" i="5"/>
  <c r="N71" i="5"/>
  <c r="N38" i="5"/>
  <c r="N5" i="5"/>
  <c r="N117" i="5"/>
  <c r="N84" i="5"/>
  <c r="N166" i="5"/>
  <c r="N73" i="5"/>
  <c r="N72" i="5"/>
  <c r="N158" i="5"/>
  <c r="N133" i="5"/>
  <c r="N195" i="5"/>
  <c r="N88" i="5"/>
  <c r="N63" i="5"/>
  <c r="N135" i="5"/>
  <c r="N55" i="5"/>
  <c r="N48" i="5"/>
  <c r="N126" i="5"/>
  <c r="N131" i="5"/>
  <c r="N182" i="5"/>
  <c r="N154" i="5"/>
  <c r="N85" i="5"/>
  <c r="N87" i="5"/>
  <c r="N141" i="5"/>
  <c r="N127" i="5"/>
  <c r="U191" i="7"/>
  <c r="U194" i="7"/>
  <c r="N178" i="5"/>
  <c r="N66" i="5"/>
  <c r="N30" i="5"/>
  <c r="N3" i="5"/>
  <c r="N134" i="5"/>
  <c r="N92" i="5"/>
  <c r="N16" i="5"/>
  <c r="N81" i="5"/>
  <c r="N102" i="5"/>
  <c r="N33" i="5"/>
  <c r="N159" i="5"/>
  <c r="U196" i="7"/>
  <c r="N165" i="5"/>
  <c r="N115" i="5"/>
  <c r="N124" i="5"/>
  <c r="U190" i="7"/>
  <c r="N98" i="5"/>
  <c r="N62" i="5"/>
  <c r="N28" i="5"/>
  <c r="N27" i="5"/>
  <c r="N4" i="5"/>
  <c r="N108" i="5"/>
  <c r="N40" i="5"/>
  <c r="N14" i="5"/>
  <c r="N112" i="5"/>
  <c r="N120" i="5"/>
  <c r="N143" i="5"/>
  <c r="U172" i="7"/>
  <c r="U192" i="7"/>
  <c r="N95" i="5"/>
  <c r="N58" i="5"/>
  <c r="N26" i="5"/>
  <c r="N35" i="5"/>
  <c r="N12" i="5"/>
  <c r="N161" i="5"/>
  <c r="N9" i="5"/>
  <c r="N97" i="5"/>
  <c r="U182" i="7"/>
  <c r="N94" i="5"/>
  <c r="N23" i="5"/>
  <c r="N51" i="5"/>
  <c r="N177" i="5"/>
  <c r="N101" i="5"/>
  <c r="N75" i="5"/>
  <c r="N157" i="5"/>
  <c r="N110" i="5"/>
  <c r="N119" i="5"/>
  <c r="N104" i="5"/>
  <c r="U176" i="7"/>
  <c r="U179" i="7"/>
  <c r="N57" i="5"/>
  <c r="N20" i="5"/>
  <c r="N13" i="5"/>
  <c r="N24" i="5"/>
  <c r="N130" i="5"/>
  <c r="N129" i="5"/>
  <c r="N145" i="5"/>
  <c r="U171" i="7"/>
  <c r="N90" i="5"/>
  <c r="N56" i="5"/>
  <c r="N22" i="5"/>
  <c r="N59" i="5"/>
  <c r="N32" i="5"/>
  <c r="N193" i="5"/>
  <c r="N21" i="5"/>
  <c r="N105" i="5"/>
  <c r="N155" i="5"/>
  <c r="N116" i="5"/>
  <c r="N138" i="5"/>
  <c r="N125" i="5"/>
  <c r="U178" i="7"/>
  <c r="U163" i="7"/>
  <c r="U199" i="7"/>
  <c r="N54" i="5"/>
  <c r="N67" i="5"/>
  <c r="N31" i="5"/>
  <c r="N109" i="5"/>
  <c r="N142" i="5"/>
  <c r="N86" i="5"/>
  <c r="N19" i="5"/>
  <c r="N36" i="5"/>
  <c r="N25" i="5"/>
  <c r="N140" i="5"/>
  <c r="N18" i="5"/>
  <c r="N170" i="5"/>
  <c r="N128" i="5"/>
  <c r="U193" i="7"/>
  <c r="N188" i="5"/>
  <c r="N83" i="5"/>
  <c r="N52" i="5"/>
  <c r="N17" i="5"/>
  <c r="N79" i="5"/>
  <c r="N44" i="5"/>
  <c r="N47" i="5"/>
  <c r="N37" i="5"/>
  <c r="N123" i="5"/>
  <c r="B2" i="4"/>
  <c r="F185" i="7"/>
  <c r="F201" i="7"/>
  <c r="D169" i="7"/>
  <c r="D185" i="7"/>
  <c r="D201" i="7"/>
  <c r="D188" i="7"/>
  <c r="C188" i="7"/>
  <c r="C191" i="7"/>
  <c r="F29" i="7"/>
  <c r="F57" i="7"/>
  <c r="F79" i="7"/>
  <c r="F103" i="7"/>
  <c r="F125" i="7"/>
  <c r="F147" i="7"/>
  <c r="F168" i="7"/>
  <c r="F184" i="7"/>
  <c r="F200" i="7"/>
  <c r="E16" i="7"/>
  <c r="E32" i="7"/>
  <c r="E48" i="7"/>
  <c r="E64" i="7"/>
  <c r="E80" i="7"/>
  <c r="E96" i="7"/>
  <c r="E112" i="7"/>
  <c r="E128" i="7"/>
  <c r="E160" i="7"/>
  <c r="D56" i="7"/>
  <c r="C112" i="7"/>
  <c r="D72" i="7"/>
  <c r="C128" i="7"/>
  <c r="D88" i="7"/>
  <c r="C144" i="7"/>
  <c r="D104" i="7"/>
  <c r="C160" i="7"/>
  <c r="D120" i="7"/>
  <c r="C176" i="7"/>
  <c r="D136" i="7"/>
  <c r="C192" i="7"/>
  <c r="D152" i="7"/>
  <c r="D168" i="7"/>
  <c r="D184" i="7"/>
  <c r="D200" i="7"/>
  <c r="E144" i="7"/>
  <c r="C16" i="7"/>
  <c r="E176" i="7"/>
  <c r="C32" i="7"/>
  <c r="E192" i="7"/>
  <c r="C48" i="7"/>
  <c r="D8" i="7"/>
  <c r="C64" i="7"/>
  <c r="D24" i="7"/>
  <c r="C80" i="7"/>
  <c r="D40" i="7"/>
  <c r="C96" i="7"/>
  <c r="D30" i="7"/>
  <c r="F175" i="7"/>
  <c r="F177" i="7"/>
  <c r="C129" i="7"/>
  <c r="F145" i="7"/>
  <c r="F97" i="7"/>
  <c r="D102" i="7"/>
  <c r="F33" i="7"/>
  <c r="E73" i="7"/>
  <c r="E186" i="7"/>
  <c r="E171" i="7"/>
  <c r="F130" i="7"/>
  <c r="C127" i="7"/>
  <c r="D23" i="7"/>
  <c r="F77" i="7"/>
  <c r="D182" i="7"/>
  <c r="F99" i="7"/>
  <c r="C93" i="7"/>
  <c r="E109" i="7"/>
  <c r="C108" i="7"/>
  <c r="D52" i="7"/>
  <c r="F25" i="7"/>
  <c r="D195" i="7"/>
  <c r="F195" i="7"/>
  <c r="C122" i="7"/>
  <c r="D66" i="7"/>
  <c r="C121" i="7"/>
  <c r="C72" i="7"/>
  <c r="E136" i="7"/>
  <c r="C71" i="7"/>
  <c r="E135" i="7"/>
  <c r="E198" i="7"/>
  <c r="F89" i="7"/>
  <c r="C133" i="7"/>
  <c r="E149" i="7"/>
  <c r="C100" i="7"/>
  <c r="D28" i="7"/>
  <c r="F172" i="7"/>
  <c r="D155" i="7"/>
  <c r="E99" i="7"/>
  <c r="D186" i="7"/>
  <c r="E130" i="7"/>
  <c r="D137" i="7"/>
  <c r="F7" i="7"/>
  <c r="X144" i="3"/>
  <c r="X145" i="3"/>
  <c r="X162" i="3"/>
  <c r="X179" i="3"/>
  <c r="X150" i="3"/>
  <c r="D46" i="7"/>
  <c r="F191" i="7"/>
  <c r="D177" i="7"/>
  <c r="F129" i="7"/>
  <c r="D118" i="7"/>
  <c r="D33" i="7"/>
  <c r="E89" i="7"/>
  <c r="E187" i="7"/>
  <c r="C111" i="7"/>
  <c r="E191" i="7"/>
  <c r="F55" i="7"/>
  <c r="D166" i="7"/>
  <c r="F76" i="7"/>
  <c r="F68" i="7"/>
  <c r="C77" i="7"/>
  <c r="E93" i="7"/>
  <c r="C92" i="7"/>
  <c r="D36" i="7"/>
  <c r="D179" i="7"/>
  <c r="F179" i="7"/>
  <c r="C106" i="7"/>
  <c r="D50" i="7"/>
  <c r="C105" i="7"/>
  <c r="C56" i="7"/>
  <c r="E120" i="7"/>
  <c r="C55" i="7"/>
  <c r="E119" i="7"/>
  <c r="C198" i="7"/>
  <c r="E182" i="7"/>
  <c r="F41" i="7"/>
  <c r="C117" i="7"/>
  <c r="E133" i="7"/>
  <c r="C84" i="7"/>
  <c r="D12" i="7"/>
  <c r="F153" i="7"/>
  <c r="C195" i="7"/>
  <c r="D139" i="7"/>
  <c r="E83" i="7"/>
  <c r="D170" i="7"/>
  <c r="E114" i="7"/>
  <c r="D121" i="7"/>
  <c r="X129" i="3"/>
  <c r="X132" i="3"/>
  <c r="X198" i="3"/>
  <c r="X139" i="3"/>
  <c r="D62" i="7"/>
  <c r="E65" i="7"/>
  <c r="D129" i="7"/>
  <c r="D134" i="7"/>
  <c r="D7" i="7"/>
  <c r="E105" i="7"/>
  <c r="E57" i="7"/>
  <c r="E41" i="7"/>
  <c r="F98" i="7"/>
  <c r="C95" i="7"/>
  <c r="E175" i="7"/>
  <c r="F28" i="7"/>
  <c r="E190" i="7"/>
  <c r="F51" i="7"/>
  <c r="F4" i="7"/>
  <c r="F36" i="7"/>
  <c r="C61" i="7"/>
  <c r="E77" i="7"/>
  <c r="F37" i="7"/>
  <c r="C76" i="7"/>
  <c r="D20" i="7"/>
  <c r="D163" i="7"/>
  <c r="F119" i="7"/>
  <c r="C90" i="7"/>
  <c r="D34" i="7"/>
  <c r="C89" i="7"/>
  <c r="C40" i="7"/>
  <c r="E104" i="7"/>
  <c r="C39" i="7"/>
  <c r="E103" i="7"/>
  <c r="C182" i="7"/>
  <c r="E166" i="7"/>
  <c r="F13" i="7"/>
  <c r="C101" i="7"/>
  <c r="E117" i="7"/>
  <c r="C68" i="7"/>
  <c r="E196" i="7"/>
  <c r="F131" i="7"/>
  <c r="C179" i="7"/>
  <c r="D123" i="7"/>
  <c r="E67" i="7"/>
  <c r="D154" i="7"/>
  <c r="E98" i="7"/>
  <c r="D105" i="7"/>
  <c r="X180" i="3"/>
  <c r="X197" i="3"/>
  <c r="X151" i="3"/>
  <c r="X137" i="3"/>
  <c r="X187" i="3"/>
  <c r="D110" i="7"/>
  <c r="F16" i="7"/>
  <c r="C65" i="7"/>
  <c r="D5" i="7"/>
  <c r="D150" i="7"/>
  <c r="F23" i="7"/>
  <c r="E121" i="7"/>
  <c r="E25" i="7"/>
  <c r="E42" i="7"/>
  <c r="E74" i="7"/>
  <c r="C79" i="7"/>
  <c r="E159" i="7"/>
  <c r="C190" i="7"/>
  <c r="E174" i="7"/>
  <c r="F27" i="7"/>
  <c r="C45" i="7"/>
  <c r="E61" i="7"/>
  <c r="C60" i="7"/>
  <c r="D4" i="7"/>
  <c r="D147" i="7"/>
  <c r="F95" i="7"/>
  <c r="C74" i="7"/>
  <c r="D18" i="7"/>
  <c r="C73" i="7"/>
  <c r="C24" i="7"/>
  <c r="E88" i="7"/>
  <c r="C23" i="7"/>
  <c r="E87" i="7"/>
  <c r="C166" i="7"/>
  <c r="E150" i="7"/>
  <c r="C85" i="7"/>
  <c r="E101" i="7"/>
  <c r="C52" i="7"/>
  <c r="E180" i="7"/>
  <c r="F108" i="7"/>
  <c r="C163" i="7"/>
  <c r="D107" i="7"/>
  <c r="E51" i="7"/>
  <c r="C194" i="7"/>
  <c r="D138" i="7"/>
  <c r="E82" i="7"/>
  <c r="D89" i="7"/>
  <c r="X199" i="3"/>
  <c r="X122" i="3"/>
  <c r="D126" i="7"/>
  <c r="F32" i="7"/>
  <c r="F65" i="7"/>
  <c r="E17" i="7"/>
  <c r="D14" i="7"/>
  <c r="D21" i="7"/>
  <c r="F166" i="7"/>
  <c r="D39" i="7"/>
  <c r="E137" i="7"/>
  <c r="E10" i="7"/>
  <c r="E12" i="7"/>
  <c r="D13" i="7"/>
  <c r="F66" i="7"/>
  <c r="C63" i="7"/>
  <c r="E143" i="7"/>
  <c r="C174" i="7"/>
  <c r="E158" i="7"/>
  <c r="F148" i="7"/>
  <c r="C29" i="7"/>
  <c r="E45" i="7"/>
  <c r="C44" i="7"/>
  <c r="E156" i="7"/>
  <c r="C187" i="7"/>
  <c r="D131" i="7"/>
  <c r="F73" i="7"/>
  <c r="C58" i="7"/>
  <c r="D2" i="7"/>
  <c r="C57" i="7"/>
  <c r="C8" i="7"/>
  <c r="E72" i="7"/>
  <c r="C7" i="7"/>
  <c r="E71" i="7"/>
  <c r="C150" i="7"/>
  <c r="E134" i="7"/>
  <c r="C69" i="7"/>
  <c r="E85" i="7"/>
  <c r="C36" i="7"/>
  <c r="E164" i="7"/>
  <c r="F85" i="7"/>
  <c r="C147" i="7"/>
  <c r="D91" i="7"/>
  <c r="E35" i="7"/>
  <c r="C178" i="7"/>
  <c r="D122" i="7"/>
  <c r="E66" i="7"/>
  <c r="D73" i="7"/>
  <c r="X128" i="3"/>
  <c r="X192" i="3"/>
  <c r="X115" i="3"/>
  <c r="X152" i="3"/>
  <c r="X170" i="3"/>
  <c r="X156" i="3"/>
  <c r="X157" i="3"/>
  <c r="X142" i="3"/>
  <c r="X190" i="3"/>
  <c r="D142" i="7"/>
  <c r="D48" i="7"/>
  <c r="D65" i="7"/>
  <c r="C17" i="7"/>
  <c r="D78" i="7"/>
  <c r="D37" i="7"/>
  <c r="E113" i="7"/>
  <c r="F182" i="7"/>
  <c r="E153" i="7"/>
  <c r="E58" i="7"/>
  <c r="E28" i="7"/>
  <c r="D29" i="7"/>
  <c r="C47" i="7"/>
  <c r="E127" i="7"/>
  <c r="C158" i="7"/>
  <c r="E142" i="7"/>
  <c r="C13" i="7"/>
  <c r="E29" i="7"/>
  <c r="C28" i="7"/>
  <c r="E140" i="7"/>
  <c r="C171" i="7"/>
  <c r="D115" i="7"/>
  <c r="F47" i="7"/>
  <c r="C42" i="7"/>
  <c r="E138" i="7"/>
  <c r="C41" i="7"/>
  <c r="D192" i="7"/>
  <c r="E56" i="7"/>
  <c r="D191" i="7"/>
  <c r="E55" i="7"/>
  <c r="C134" i="7"/>
  <c r="E118" i="7"/>
  <c r="C53" i="7"/>
  <c r="E69" i="7"/>
  <c r="C20" i="7"/>
  <c r="E148" i="7"/>
  <c r="F61" i="7"/>
  <c r="C131" i="7"/>
  <c r="D75" i="7"/>
  <c r="E19" i="7"/>
  <c r="C162" i="7"/>
  <c r="D106" i="7"/>
  <c r="E50" i="7"/>
  <c r="D57" i="7"/>
  <c r="X146" i="3"/>
  <c r="X163" i="3"/>
  <c r="X134" i="3"/>
  <c r="X200" i="3"/>
  <c r="X121" i="3"/>
  <c r="X169" i="3"/>
  <c r="D158" i="7"/>
  <c r="F64" i="7"/>
  <c r="F17" i="7"/>
  <c r="D53" i="7"/>
  <c r="C113" i="7"/>
  <c r="F198" i="7"/>
  <c r="E169" i="7"/>
  <c r="E11" i="7"/>
  <c r="F44" i="7"/>
  <c r="D45" i="7"/>
  <c r="F2" i="7"/>
  <c r="F34" i="7"/>
  <c r="C31" i="7"/>
  <c r="E111" i="7"/>
  <c r="C142" i="7"/>
  <c r="E126" i="7"/>
  <c r="F116" i="7"/>
  <c r="D197" i="7"/>
  <c r="E13" i="7"/>
  <c r="C12" i="7"/>
  <c r="E92" i="7"/>
  <c r="F6" i="7"/>
  <c r="F38" i="7"/>
  <c r="F70" i="7"/>
  <c r="F102" i="7"/>
  <c r="F134" i="7"/>
  <c r="C155" i="7"/>
  <c r="D99" i="7"/>
  <c r="C26" i="7"/>
  <c r="F194" i="7"/>
  <c r="C25" i="7"/>
  <c r="D176" i="7"/>
  <c r="E40" i="7"/>
  <c r="D175" i="7"/>
  <c r="E39" i="7"/>
  <c r="C118" i="7"/>
  <c r="E102" i="7"/>
  <c r="C37" i="7"/>
  <c r="E53" i="7"/>
  <c r="C4" i="7"/>
  <c r="E132" i="7"/>
  <c r="F35" i="7"/>
  <c r="C115" i="7"/>
  <c r="D59" i="7"/>
  <c r="E3" i="7"/>
  <c r="C146" i="7"/>
  <c r="D90" i="7"/>
  <c r="E34" i="7"/>
  <c r="D41" i="7"/>
  <c r="X113" i="3"/>
  <c r="X194" i="3"/>
  <c r="X116" i="3"/>
  <c r="X182" i="3"/>
  <c r="X123" i="3"/>
  <c r="F174" i="7"/>
  <c r="D80" i="7"/>
  <c r="E49" i="7"/>
  <c r="D17" i="7"/>
  <c r="D69" i="7"/>
  <c r="F113" i="7"/>
  <c r="D87" i="7"/>
  <c r="E185" i="7"/>
  <c r="E27" i="7"/>
  <c r="E60" i="7"/>
  <c r="D61" i="7"/>
  <c r="F146" i="7"/>
  <c r="C15" i="7"/>
  <c r="E95" i="7"/>
  <c r="C126" i="7"/>
  <c r="E110" i="7"/>
  <c r="D181" i="7"/>
  <c r="F143" i="7"/>
  <c r="F53" i="7"/>
  <c r="D196" i="7"/>
  <c r="E44" i="7"/>
  <c r="C139" i="7"/>
  <c r="D83" i="7"/>
  <c r="C10" i="7"/>
  <c r="F178" i="7"/>
  <c r="F24" i="7"/>
  <c r="F56" i="7"/>
  <c r="F88" i="7"/>
  <c r="F120" i="7"/>
  <c r="C9" i="7"/>
  <c r="D128" i="7"/>
  <c r="E24" i="7"/>
  <c r="D127" i="7"/>
  <c r="E23" i="7"/>
  <c r="C102" i="7"/>
  <c r="E86" i="7"/>
  <c r="C21" i="7"/>
  <c r="E37" i="7"/>
  <c r="D172" i="7"/>
  <c r="E116" i="7"/>
  <c r="F11" i="7"/>
  <c r="F14" i="7"/>
  <c r="F46" i="7"/>
  <c r="F78" i="7"/>
  <c r="F110" i="7"/>
  <c r="F142" i="7"/>
  <c r="C99" i="7"/>
  <c r="D43" i="7"/>
  <c r="F187" i="7"/>
  <c r="C130" i="7"/>
  <c r="D74" i="7"/>
  <c r="E18" i="7"/>
  <c r="D25" i="7"/>
  <c r="X164" i="3"/>
  <c r="X135" i="3"/>
  <c r="X171" i="3"/>
  <c r="F190" i="7"/>
  <c r="D96" i="7"/>
  <c r="C49" i="7"/>
  <c r="D85" i="7"/>
  <c r="D113" i="7"/>
  <c r="E201" i="7"/>
  <c r="F43" i="7"/>
  <c r="E76" i="7"/>
  <c r="D77" i="7"/>
  <c r="D199" i="7"/>
  <c r="E79" i="7"/>
  <c r="C110" i="7"/>
  <c r="E94" i="7"/>
  <c r="F84" i="7"/>
  <c r="D165" i="7"/>
  <c r="F122" i="7"/>
  <c r="F5" i="7"/>
  <c r="D180" i="7"/>
  <c r="F196" i="7"/>
  <c r="C123" i="7"/>
  <c r="D67" i="7"/>
  <c r="D194" i="7"/>
  <c r="F160" i="7"/>
  <c r="F159" i="7"/>
  <c r="C200" i="7"/>
  <c r="D112" i="7"/>
  <c r="E8" i="7"/>
  <c r="C199" i="7"/>
  <c r="D111" i="7"/>
  <c r="E7" i="7"/>
  <c r="C86" i="7"/>
  <c r="E70" i="7"/>
  <c r="C5" i="7"/>
  <c r="E21" i="7"/>
  <c r="D156" i="7"/>
  <c r="E100" i="7"/>
  <c r="C83" i="7"/>
  <c r="D27" i="7"/>
  <c r="F171" i="7"/>
  <c r="C114" i="7"/>
  <c r="D58" i="7"/>
  <c r="E2" i="7"/>
  <c r="D9" i="7"/>
  <c r="X112" i="3"/>
  <c r="X161" i="3"/>
  <c r="X183" i="3"/>
  <c r="F15" i="7"/>
  <c r="F112" i="7"/>
  <c r="D49" i="7"/>
  <c r="E193" i="7"/>
  <c r="D101" i="7"/>
  <c r="E81" i="7"/>
  <c r="D151" i="7"/>
  <c r="E26" i="7"/>
  <c r="E59" i="7"/>
  <c r="F92" i="7"/>
  <c r="D93" i="7"/>
  <c r="F114" i="7"/>
  <c r="D183" i="7"/>
  <c r="E63" i="7"/>
  <c r="C94" i="7"/>
  <c r="E78" i="7"/>
  <c r="D133" i="7"/>
  <c r="F75" i="7"/>
  <c r="D164" i="7"/>
  <c r="F180" i="7"/>
  <c r="C107" i="7"/>
  <c r="D51" i="7"/>
  <c r="D178" i="7"/>
  <c r="F117" i="7"/>
  <c r="F115" i="7"/>
  <c r="C184" i="7"/>
  <c r="D64" i="7"/>
  <c r="F157" i="7"/>
  <c r="C183" i="7"/>
  <c r="D95" i="7"/>
  <c r="F136" i="7"/>
  <c r="C70" i="7"/>
  <c r="E54" i="7"/>
  <c r="D189" i="7"/>
  <c r="E5" i="7"/>
  <c r="D140" i="7"/>
  <c r="E84" i="7"/>
  <c r="C67" i="7"/>
  <c r="D11" i="7"/>
  <c r="F152" i="7"/>
  <c r="C98" i="7"/>
  <c r="D42" i="7"/>
  <c r="F186" i="7"/>
  <c r="F169" i="7"/>
  <c r="X133" i="3"/>
  <c r="X136" i="3"/>
  <c r="X154" i="3"/>
  <c r="X140" i="3"/>
  <c r="X141" i="3"/>
  <c r="D31" i="7"/>
  <c r="F128" i="7"/>
  <c r="F49" i="7"/>
  <c r="C193" i="7"/>
  <c r="D149" i="7"/>
  <c r="D6" i="7"/>
  <c r="C81" i="7"/>
  <c r="F167" i="7"/>
  <c r="E90" i="7"/>
  <c r="E75" i="7"/>
  <c r="E108" i="7"/>
  <c r="D141" i="7"/>
  <c r="D167" i="7"/>
  <c r="E47" i="7"/>
  <c r="C78" i="7"/>
  <c r="E62" i="7"/>
  <c r="F20" i="7"/>
  <c r="F52" i="7"/>
  <c r="C189" i="7"/>
  <c r="D117" i="7"/>
  <c r="F26" i="7"/>
  <c r="D148" i="7"/>
  <c r="F163" i="7"/>
  <c r="C91" i="7"/>
  <c r="D35" i="7"/>
  <c r="D162" i="7"/>
  <c r="F93" i="7"/>
  <c r="F69" i="7"/>
  <c r="C168" i="7"/>
  <c r="D32" i="7"/>
  <c r="F137" i="7"/>
  <c r="C167" i="7"/>
  <c r="D63" i="7"/>
  <c r="F90" i="7"/>
  <c r="C54" i="7"/>
  <c r="E38" i="7"/>
  <c r="D173" i="7"/>
  <c r="F154" i="7"/>
  <c r="C196" i="7"/>
  <c r="D124" i="7"/>
  <c r="E68" i="7"/>
  <c r="C51" i="7"/>
  <c r="E195" i="7"/>
  <c r="F107" i="7"/>
  <c r="C82" i="7"/>
  <c r="D26" i="7"/>
  <c r="F170" i="7"/>
  <c r="F149" i="7"/>
  <c r="X130" i="3"/>
  <c r="X147" i="3"/>
  <c r="X117" i="3"/>
  <c r="X118" i="3"/>
  <c r="X184" i="3"/>
  <c r="X153" i="3"/>
  <c r="X202" i="3"/>
  <c r="X188" i="3"/>
  <c r="D47" i="7"/>
  <c r="D144" i="7"/>
  <c r="F193" i="7"/>
  <c r="F165" i="7"/>
  <c r="D22" i="7"/>
  <c r="F81" i="7"/>
  <c r="E106" i="7"/>
  <c r="F91" i="7"/>
  <c r="E124" i="7"/>
  <c r="D157" i="7"/>
  <c r="F82" i="7"/>
  <c r="D135" i="7"/>
  <c r="E31" i="7"/>
  <c r="C62" i="7"/>
  <c r="E46" i="7"/>
  <c r="F164" i="7"/>
  <c r="C173" i="7"/>
  <c r="E189" i="7"/>
  <c r="D132" i="7"/>
  <c r="F141" i="7"/>
  <c r="C75" i="7"/>
  <c r="D19" i="7"/>
  <c r="D146" i="7"/>
  <c r="F71" i="7"/>
  <c r="C201" i="7"/>
  <c r="C152" i="7"/>
  <c r="D16" i="7"/>
  <c r="F67" i="7"/>
  <c r="C151" i="7"/>
  <c r="D15" i="7"/>
  <c r="F42" i="7"/>
  <c r="C38" i="7"/>
  <c r="E22" i="7"/>
  <c r="D125" i="7"/>
  <c r="F133" i="7"/>
  <c r="C180" i="7"/>
  <c r="D108" i="7"/>
  <c r="E52" i="7"/>
  <c r="C35" i="7"/>
  <c r="E179" i="7"/>
  <c r="F83" i="7"/>
  <c r="C66" i="7"/>
  <c r="D10" i="7"/>
  <c r="F151" i="7"/>
  <c r="F127" i="7"/>
  <c r="X178" i="3"/>
  <c r="X195" i="3"/>
  <c r="X166" i="3"/>
  <c r="X201" i="3"/>
  <c r="F63" i="7"/>
  <c r="D160" i="7"/>
  <c r="D193" i="7"/>
  <c r="E161" i="7"/>
  <c r="F181" i="7"/>
  <c r="D38" i="7"/>
  <c r="D81" i="7"/>
  <c r="F199" i="7"/>
  <c r="E122" i="7"/>
  <c r="E107" i="7"/>
  <c r="F140" i="7"/>
  <c r="F173" i="7"/>
  <c r="D119" i="7"/>
  <c r="E15" i="7"/>
  <c r="F3" i="7"/>
  <c r="C46" i="7"/>
  <c r="E30" i="7"/>
  <c r="C157" i="7"/>
  <c r="E173" i="7"/>
  <c r="C172" i="7"/>
  <c r="D116" i="7"/>
  <c r="F121" i="7"/>
  <c r="C59" i="7"/>
  <c r="D3" i="7"/>
  <c r="C186" i="7"/>
  <c r="D130" i="7"/>
  <c r="F45" i="7"/>
  <c r="C185" i="7"/>
  <c r="C136" i="7"/>
  <c r="E200" i="7"/>
  <c r="C135" i="7"/>
  <c r="E199" i="7"/>
  <c r="C22" i="7"/>
  <c r="E6" i="7"/>
  <c r="C197" i="7"/>
  <c r="D109" i="7"/>
  <c r="F109" i="7"/>
  <c r="C164" i="7"/>
  <c r="D92" i="7"/>
  <c r="E36" i="7"/>
  <c r="C19" i="7"/>
  <c r="E163" i="7"/>
  <c r="F60" i="7"/>
  <c r="C50" i="7"/>
  <c r="E194" i="7"/>
  <c r="F106" i="7"/>
  <c r="F105" i="7"/>
  <c r="X160" i="3"/>
  <c r="X148" i="3"/>
  <c r="X119" i="3"/>
  <c r="X155" i="3"/>
  <c r="D79" i="7"/>
  <c r="F176" i="7"/>
  <c r="E177" i="7"/>
  <c r="E145" i="7"/>
  <c r="C161" i="7"/>
  <c r="E97" i="7"/>
  <c r="F197" i="7"/>
  <c r="D54" i="7"/>
  <c r="F138" i="7"/>
  <c r="E123" i="7"/>
  <c r="F156" i="7"/>
  <c r="F189" i="7"/>
  <c r="F50" i="7"/>
  <c r="C175" i="7"/>
  <c r="D103" i="7"/>
  <c r="F183" i="7"/>
  <c r="C30" i="7"/>
  <c r="E14" i="7"/>
  <c r="F132" i="7"/>
  <c r="C141" i="7"/>
  <c r="E157" i="7"/>
  <c r="F21" i="7"/>
  <c r="C156" i="7"/>
  <c r="D100" i="7"/>
  <c r="F96" i="7"/>
  <c r="C43" i="7"/>
  <c r="E139" i="7"/>
  <c r="C170" i="7"/>
  <c r="D114" i="7"/>
  <c r="F19" i="7"/>
  <c r="C169" i="7"/>
  <c r="C120" i="7"/>
  <c r="E184" i="7"/>
  <c r="C119" i="7"/>
  <c r="E183" i="7"/>
  <c r="C6" i="7"/>
  <c r="F155" i="7"/>
  <c r="C181" i="7"/>
  <c r="E197" i="7"/>
  <c r="F87" i="7"/>
  <c r="C148" i="7"/>
  <c r="D76" i="7"/>
  <c r="E20" i="7"/>
  <c r="C3" i="7"/>
  <c r="E147" i="7"/>
  <c r="F10" i="7"/>
  <c r="C34" i="7"/>
  <c r="E178" i="7"/>
  <c r="F59" i="7"/>
  <c r="F80" i="7"/>
  <c r="X193" i="3"/>
  <c r="X196" i="3"/>
  <c r="X165" i="3"/>
  <c r="X181" i="3"/>
  <c r="X167" i="3"/>
  <c r="X185" i="3"/>
  <c r="D143" i="7"/>
  <c r="F192" i="7"/>
  <c r="C177" i="7"/>
  <c r="C145" i="7"/>
  <c r="D161" i="7"/>
  <c r="C97" i="7"/>
  <c r="D70" i="7"/>
  <c r="E33" i="7"/>
  <c r="E154" i="7"/>
  <c r="F139" i="7"/>
  <c r="E172" i="7"/>
  <c r="F18" i="7"/>
  <c r="F162" i="7"/>
  <c r="C159" i="7"/>
  <c r="D71" i="7"/>
  <c r="F124" i="7"/>
  <c r="C14" i="7"/>
  <c r="F144" i="7"/>
  <c r="C125" i="7"/>
  <c r="E141" i="7"/>
  <c r="C140" i="7"/>
  <c r="D84" i="7"/>
  <c r="F74" i="7"/>
  <c r="F22" i="7"/>
  <c r="F54" i="7"/>
  <c r="F86" i="7"/>
  <c r="F118" i="7"/>
  <c r="F150" i="7"/>
  <c r="C27" i="7"/>
  <c r="E91" i="7"/>
  <c r="C154" i="7"/>
  <c r="D98" i="7"/>
  <c r="C153" i="7"/>
  <c r="C104" i="7"/>
  <c r="E168" i="7"/>
  <c r="C103" i="7"/>
  <c r="E167" i="7"/>
  <c r="D190" i="7"/>
  <c r="F135" i="7"/>
  <c r="C165" i="7"/>
  <c r="E181" i="7"/>
  <c r="F39" i="7"/>
  <c r="C132" i="7"/>
  <c r="D60" i="7"/>
  <c r="E4" i="7"/>
  <c r="D187" i="7"/>
  <c r="E131" i="7"/>
  <c r="C18" i="7"/>
  <c r="E162" i="7"/>
  <c r="F9" i="7"/>
  <c r="F58" i="7"/>
  <c r="X176" i="3"/>
  <c r="X120" i="3"/>
  <c r="X138" i="3"/>
  <c r="X124" i="3"/>
  <c r="X125" i="3"/>
  <c r="D159" i="7"/>
  <c r="D94" i="7"/>
  <c r="E129" i="7"/>
  <c r="D145" i="7"/>
  <c r="F161" i="7"/>
  <c r="D97" i="7"/>
  <c r="D86" i="7"/>
  <c r="C33" i="7"/>
  <c r="E9" i="7"/>
  <c r="E170" i="7"/>
  <c r="E155" i="7"/>
  <c r="E188" i="7"/>
  <c r="C143" i="7"/>
  <c r="D55" i="7"/>
  <c r="F101" i="7"/>
  <c r="D198" i="7"/>
  <c r="F123" i="7"/>
  <c r="F100" i="7"/>
  <c r="C109" i="7"/>
  <c r="E125" i="7"/>
  <c r="C124" i="7"/>
  <c r="D68" i="7"/>
  <c r="F48" i="7"/>
  <c r="F126" i="7"/>
  <c r="X114" i="3"/>
  <c r="X127" i="3"/>
  <c r="X177" i="3"/>
  <c r="F94" i="7"/>
  <c r="F104" i="7"/>
  <c r="X172" i="3"/>
  <c r="C87" i="7"/>
  <c r="C116" i="7"/>
  <c r="X175" i="3"/>
  <c r="E151" i="7"/>
  <c r="D44" i="7"/>
  <c r="F62" i="7"/>
  <c r="C11" i="7"/>
  <c r="F72" i="7"/>
  <c r="C88" i="7"/>
  <c r="F188" i="7"/>
  <c r="E146" i="7"/>
  <c r="X159" i="3"/>
  <c r="X111" i="3"/>
  <c r="E43" i="7"/>
  <c r="E152" i="7"/>
  <c r="C149" i="7"/>
  <c r="C137" i="7"/>
  <c r="E165" i="7"/>
  <c r="F30" i="7"/>
  <c r="F40" i="7"/>
  <c r="F12" i="7"/>
  <c r="D153" i="7"/>
  <c r="X131" i="3"/>
  <c r="X168" i="3"/>
  <c r="X126" i="3"/>
  <c r="X143" i="3"/>
  <c r="F31" i="7"/>
  <c r="X189" i="3"/>
  <c r="X149" i="3"/>
  <c r="D171" i="7"/>
  <c r="F111" i="7"/>
  <c r="X186" i="3"/>
  <c r="X174" i="3"/>
  <c r="F8" i="7"/>
  <c r="D174" i="7"/>
  <c r="F158" i="7"/>
  <c r="E115" i="7"/>
  <c r="X191" i="3"/>
  <c r="C138" i="7"/>
  <c r="D82" i="7"/>
  <c r="X158" i="3"/>
  <c r="X173" i="3"/>
  <c r="X85" i="3"/>
  <c r="X4" i="3"/>
  <c r="X20" i="3"/>
  <c r="X36" i="3"/>
  <c r="X52" i="3"/>
  <c r="X68" i="3"/>
  <c r="X84" i="3"/>
  <c r="X100" i="3"/>
  <c r="X21" i="3"/>
  <c r="X38" i="3"/>
  <c r="X54" i="3"/>
  <c r="X70" i="3"/>
  <c r="X86" i="3"/>
  <c r="X102" i="3"/>
  <c r="X7" i="3"/>
  <c r="X55" i="3"/>
  <c r="X71" i="3"/>
  <c r="X87" i="3"/>
  <c r="X103" i="3"/>
  <c r="X37" i="3"/>
  <c r="X6" i="3"/>
  <c r="X40" i="3"/>
  <c r="X56" i="3"/>
  <c r="X72" i="3"/>
  <c r="X88" i="3"/>
  <c r="X104" i="3"/>
  <c r="X39" i="3"/>
  <c r="X9" i="3"/>
  <c r="X41" i="3"/>
  <c r="X73" i="3"/>
  <c r="X89" i="3"/>
  <c r="X105" i="3"/>
  <c r="X24" i="3"/>
  <c r="X25" i="3"/>
  <c r="X10" i="3"/>
  <c r="X26" i="3"/>
  <c r="X42" i="3"/>
  <c r="X58" i="3"/>
  <c r="X74" i="3"/>
  <c r="X90" i="3"/>
  <c r="X106" i="3"/>
  <c r="X101" i="3"/>
  <c r="X23" i="3"/>
  <c r="X57" i="3"/>
  <c r="X11" i="3"/>
  <c r="X27" i="3"/>
  <c r="X43" i="3"/>
  <c r="X59" i="3"/>
  <c r="X75" i="3"/>
  <c r="X91" i="3"/>
  <c r="X107" i="3"/>
  <c r="X12" i="3"/>
  <c r="X60" i="3"/>
  <c r="X76" i="3"/>
  <c r="X92" i="3"/>
  <c r="X108" i="3"/>
  <c r="X69" i="3"/>
  <c r="X8" i="3"/>
  <c r="X28" i="3"/>
  <c r="X44" i="3"/>
  <c r="X13" i="3"/>
  <c r="X29" i="3"/>
  <c r="X45" i="3"/>
  <c r="X61" i="3"/>
  <c r="X77" i="3"/>
  <c r="X93" i="3"/>
  <c r="X109" i="3"/>
  <c r="X46" i="3"/>
  <c r="X62" i="3"/>
  <c r="X78" i="3"/>
  <c r="X94" i="3"/>
  <c r="X110" i="3"/>
  <c r="X47" i="3"/>
  <c r="X63" i="3"/>
  <c r="X79" i="3"/>
  <c r="X95" i="3"/>
  <c r="X14" i="3"/>
  <c r="X48" i="3"/>
  <c r="X64" i="3"/>
  <c r="X80" i="3"/>
  <c r="X96" i="3"/>
  <c r="X53" i="3"/>
  <c r="X22" i="3"/>
  <c r="X15" i="3"/>
  <c r="X17" i="3"/>
  <c r="X49" i="3"/>
  <c r="X81" i="3"/>
  <c r="X97" i="3"/>
  <c r="X5" i="3"/>
  <c r="X30" i="3"/>
  <c r="X16" i="3"/>
  <c r="X65" i="3"/>
  <c r="X18" i="3"/>
  <c r="X34" i="3"/>
  <c r="X50" i="3"/>
  <c r="X66" i="3"/>
  <c r="X82" i="3"/>
  <c r="X98" i="3"/>
  <c r="X31" i="3"/>
  <c r="X32" i="3"/>
  <c r="X33" i="3"/>
  <c r="X3" i="3"/>
  <c r="X19" i="3"/>
  <c r="X35" i="3"/>
  <c r="X51" i="3"/>
  <c r="X67" i="3"/>
  <c r="X83" i="3"/>
  <c r="X99" i="3"/>
  <c r="N88" i="4"/>
  <c r="N15" i="4"/>
  <c r="N31" i="4"/>
  <c r="N40" i="4"/>
  <c r="N143" i="4"/>
  <c r="N36" i="4"/>
  <c r="N52" i="4"/>
  <c r="N163" i="4"/>
  <c r="N27" i="4"/>
  <c r="N112" i="4"/>
  <c r="N70" i="4"/>
  <c r="N102" i="4"/>
  <c r="N181" i="4"/>
  <c r="N98" i="4"/>
  <c r="N59" i="4"/>
  <c r="N156" i="4"/>
  <c r="N43" i="4"/>
  <c r="N51" i="4"/>
  <c r="N93" i="4"/>
  <c r="N6" i="4"/>
  <c r="N108" i="4"/>
  <c r="N94" i="4"/>
  <c r="N79" i="4"/>
  <c r="N142" i="4"/>
  <c r="N69" i="4"/>
  <c r="N197" i="4"/>
  <c r="N188" i="4"/>
  <c r="N172" i="4"/>
  <c r="N101" i="4"/>
  <c r="N21" i="4"/>
  <c r="N5" i="4"/>
  <c r="N53" i="4"/>
  <c r="N180" i="4"/>
  <c r="N133" i="4"/>
  <c r="N37" i="4"/>
  <c r="N195" i="4"/>
  <c r="N26" i="4"/>
  <c r="N201" i="4"/>
  <c r="N177" i="4"/>
  <c r="N60" i="4"/>
  <c r="N106" i="4"/>
  <c r="N82" i="4"/>
  <c r="N130" i="4"/>
  <c r="N178" i="4"/>
  <c r="N67" i="4"/>
  <c r="N182" i="4"/>
  <c r="N161" i="4"/>
  <c r="N66" i="4"/>
  <c r="N141" i="4"/>
  <c r="N99" i="4"/>
  <c r="N115" i="4"/>
  <c r="N147" i="4"/>
  <c r="N183" i="4"/>
  <c r="N184" i="4"/>
  <c r="N185" i="4"/>
  <c r="N123" i="4"/>
  <c r="N127" i="4"/>
  <c r="N20" i="4"/>
  <c r="N150" i="4"/>
  <c r="N152" i="4"/>
  <c r="N154" i="4"/>
  <c r="N157" i="4"/>
  <c r="N191" i="4"/>
  <c r="N22" i="4"/>
  <c r="N118" i="4"/>
  <c r="N159" i="4"/>
  <c r="N193" i="4"/>
  <c r="N91" i="4"/>
  <c r="N171" i="4"/>
  <c r="N34" i="4"/>
  <c r="N56" i="4"/>
  <c r="N120" i="4"/>
  <c r="N76" i="4"/>
  <c r="N140" i="4"/>
  <c r="N170" i="4"/>
  <c r="N109" i="4"/>
  <c r="N90" i="4"/>
  <c r="N54" i="4"/>
  <c r="N153" i="4"/>
  <c r="N74" i="4"/>
  <c r="N68" i="4"/>
  <c r="N11" i="4"/>
  <c r="N107" i="4"/>
  <c r="N122" i="4"/>
  <c r="N164" i="4"/>
  <c r="N77" i="4"/>
  <c r="N186" i="4"/>
  <c r="N137" i="4"/>
  <c r="N58" i="4"/>
  <c r="N138" i="4"/>
  <c r="N92" i="4"/>
  <c r="N75" i="4"/>
  <c r="N139" i="4"/>
  <c r="N24" i="4"/>
  <c r="N124" i="4"/>
  <c r="N166" i="4"/>
  <c r="N198" i="4"/>
  <c r="N158" i="4"/>
  <c r="N7" i="4"/>
  <c r="N8" i="4"/>
  <c r="N100" i="4"/>
  <c r="N110" i="4"/>
  <c r="N42" i="4"/>
  <c r="N2" i="4"/>
  <c r="N47" i="4"/>
  <c r="N104" i="4"/>
  <c r="N126" i="4"/>
  <c r="N168" i="4"/>
  <c r="N199" i="4"/>
  <c r="N129" i="4"/>
  <c r="N50" i="4"/>
  <c r="N175" i="4"/>
  <c r="N179" i="4"/>
  <c r="N200" i="4"/>
  <c r="N113" i="4"/>
  <c r="N145" i="4"/>
  <c r="N86" i="4"/>
  <c r="N96" i="4"/>
  <c r="N135" i="4"/>
  <c r="N114" i="4"/>
  <c r="N3" i="4"/>
  <c r="N83" i="4"/>
  <c r="N131" i="4"/>
  <c r="N18" i="4"/>
  <c r="N4" i="4"/>
  <c r="N84" i="4"/>
  <c r="N116" i="4"/>
  <c r="N194" i="4"/>
  <c r="N35" i="4"/>
  <c r="N44" i="4"/>
  <c r="N61" i="4"/>
  <c r="N78" i="4"/>
  <c r="N111" i="4"/>
  <c r="N128" i="4"/>
  <c r="N167" i="4"/>
  <c r="N19" i="4"/>
  <c r="N28" i="4"/>
  <c r="N45" i="4"/>
  <c r="N62" i="4"/>
  <c r="N87" i="4"/>
  <c r="N95" i="4"/>
  <c r="N103" i="4"/>
  <c r="N148" i="4"/>
  <c r="N169" i="4"/>
  <c r="N187" i="4"/>
  <c r="N12" i="4"/>
  <c r="N29" i="4"/>
  <c r="N46" i="4"/>
  <c r="N71" i="4"/>
  <c r="N80" i="4"/>
  <c r="N132" i="4"/>
  <c r="N151" i="4"/>
  <c r="N190" i="4"/>
  <c r="N72" i="4"/>
  <c r="N89" i="4"/>
  <c r="N105" i="4"/>
  <c r="N38" i="4"/>
  <c r="N63" i="4"/>
  <c r="N97" i="4"/>
  <c r="N30" i="4"/>
  <c r="N55" i="4"/>
  <c r="N64" i="4"/>
  <c r="N81" i="4"/>
  <c r="N117" i="4"/>
  <c r="N134" i="4"/>
  <c r="N174" i="4"/>
  <c r="N192" i="4"/>
  <c r="N14" i="4"/>
  <c r="N39" i="4"/>
  <c r="N48" i="4"/>
  <c r="N119" i="4"/>
  <c r="N136" i="4"/>
  <c r="N23" i="4"/>
  <c r="N32" i="4"/>
  <c r="N121" i="4"/>
  <c r="N16" i="4"/>
  <c r="N165" i="4"/>
  <c r="N196" i="4"/>
  <c r="N149" i="4"/>
  <c r="N176" i="4"/>
  <c r="N155" i="4"/>
  <c r="N144" i="4"/>
  <c r="N160" i="4"/>
  <c r="N146" i="4"/>
  <c r="N162" i="4"/>
  <c r="N9" i="4"/>
  <c r="N17" i="4"/>
  <c r="N25" i="4"/>
  <c r="N33" i="4"/>
  <c r="N41" i="4"/>
  <c r="N49" i="4"/>
  <c r="N57" i="4"/>
  <c r="N65" i="4"/>
  <c r="N73" i="4"/>
  <c r="N85" i="4"/>
  <c r="N125" i="4"/>
  <c r="N173" i="4"/>
  <c r="N189" i="4"/>
  <c r="S59" i="3" l="1"/>
  <c r="S173" i="3"/>
  <c r="S129" i="3"/>
  <c r="S94" i="3"/>
  <c r="S61" i="3"/>
  <c r="S33" i="3"/>
  <c r="S199" i="3"/>
  <c r="S202" i="3"/>
  <c r="S157" i="3"/>
  <c r="S135" i="3"/>
  <c r="S106" i="3"/>
  <c r="S78" i="3"/>
  <c r="S49" i="3"/>
  <c r="S22" i="3"/>
  <c r="S155" i="3"/>
  <c r="S116" i="3"/>
  <c r="S102" i="3"/>
  <c r="S92" i="3"/>
  <c r="S83" i="3"/>
  <c r="S75" i="3"/>
  <c r="S69" i="3"/>
  <c r="S58" i="3"/>
  <c r="S47" i="3"/>
  <c r="S35" i="3"/>
  <c r="S29" i="3"/>
  <c r="S18" i="3"/>
  <c r="S7" i="3"/>
  <c r="S182" i="3"/>
  <c r="S161" i="3"/>
  <c r="S150" i="3"/>
  <c r="S132" i="3"/>
  <c r="S109" i="3"/>
  <c r="S90" i="3"/>
  <c r="S74" i="3"/>
  <c r="S55" i="3"/>
  <c r="S36" i="3"/>
  <c r="S13" i="3"/>
  <c r="S177" i="3"/>
  <c r="S152" i="3"/>
  <c r="S136" i="3"/>
  <c r="S119" i="3"/>
  <c r="S99" i="3"/>
  <c r="S82" i="3"/>
  <c r="S67" i="3"/>
  <c r="S52" i="3"/>
  <c r="S31" i="3"/>
  <c r="S17" i="3"/>
  <c r="S194" i="3"/>
  <c r="S175" i="3"/>
  <c r="S160" i="3"/>
  <c r="S144" i="3"/>
  <c r="S122" i="3"/>
  <c r="S107" i="3"/>
  <c r="S91" i="3"/>
  <c r="S70" i="3"/>
  <c r="S48" i="3"/>
  <c r="S34" i="3"/>
  <c r="S9" i="3"/>
  <c r="S187" i="3"/>
  <c r="S168" i="3"/>
  <c r="S140" i="3"/>
  <c r="S111" i="3"/>
  <c r="S89" i="3"/>
  <c r="S66" i="3"/>
  <c r="S39" i="3"/>
  <c r="S8" i="3"/>
  <c r="S110" i="3"/>
  <c r="S54" i="3"/>
  <c r="S40" i="3"/>
  <c r="S24" i="3"/>
  <c r="S14" i="3"/>
  <c r="S193" i="3"/>
  <c r="S178" i="3"/>
  <c r="S166" i="3"/>
  <c r="S143" i="3"/>
  <c r="S121" i="3"/>
  <c r="S103" i="3"/>
  <c r="S85" i="3"/>
  <c r="S68" i="3"/>
  <c r="S50" i="3"/>
  <c r="S30" i="3"/>
  <c r="S19" i="3"/>
  <c r="S196" i="3"/>
  <c r="S164" i="3"/>
  <c r="S147" i="3"/>
  <c r="S125" i="3"/>
  <c r="S108" i="3"/>
  <c r="S93" i="3"/>
  <c r="S73" i="3"/>
  <c r="S57" i="3"/>
  <c r="S41" i="3"/>
  <c r="S26" i="3"/>
  <c r="S5" i="3"/>
  <c r="S185" i="3"/>
  <c r="S165" i="3"/>
  <c r="S149" i="3"/>
  <c r="S133" i="3"/>
  <c r="S117" i="3"/>
  <c r="S96" i="3"/>
  <c r="S81" i="3"/>
  <c r="S64" i="3"/>
  <c r="S38" i="3"/>
  <c r="S23" i="3"/>
  <c r="S4" i="3"/>
  <c r="S179" i="3"/>
  <c r="S153" i="3"/>
  <c r="S124" i="3"/>
  <c r="S100" i="3"/>
  <c r="S72" i="3"/>
  <c r="S45" i="3"/>
  <c r="S15" i="3"/>
  <c r="S11" i="3"/>
  <c r="S3" i="3"/>
  <c r="S200" i="3"/>
  <c r="S198" i="3"/>
  <c r="S197" i="3"/>
  <c r="S195" i="3"/>
  <c r="S191" i="3"/>
  <c r="S189" i="3"/>
  <c r="S186" i="3"/>
  <c r="S184" i="3"/>
  <c r="S180" i="3"/>
  <c r="S176" i="3"/>
  <c r="S174" i="3"/>
  <c r="S170" i="3"/>
  <c r="S167" i="3"/>
  <c r="S163" i="3"/>
  <c r="S159" i="3"/>
  <c r="S151" i="3"/>
  <c r="S148" i="3"/>
  <c r="S145" i="3"/>
  <c r="S141" i="3"/>
  <c r="S137" i="3"/>
  <c r="S134" i="3"/>
  <c r="S130" i="3"/>
  <c r="S127" i="3"/>
  <c r="S123" i="3"/>
  <c r="S120" i="3"/>
  <c r="S113" i="3"/>
  <c r="S105" i="3"/>
  <c r="S98" i="3"/>
  <c r="S95" i="3"/>
  <c r="S87" i="3"/>
  <c r="S80" i="3"/>
  <c r="S71" i="3"/>
  <c r="S65" i="3"/>
  <c r="S60" i="3"/>
  <c r="S51" i="3"/>
  <c r="S43" i="3"/>
  <c r="S32" i="3"/>
  <c r="S20" i="3"/>
  <c r="S10" i="3"/>
  <c r="S201" i="3"/>
  <c r="S188" i="3"/>
  <c r="S172" i="3"/>
  <c r="S156" i="3"/>
  <c r="S138" i="3"/>
  <c r="S126" i="3"/>
  <c r="S115" i="3"/>
  <c r="S97" i="3"/>
  <c r="S79" i="3"/>
  <c r="S62" i="3"/>
  <c r="S42" i="3"/>
  <c r="S25" i="3"/>
  <c r="S6" i="3"/>
  <c r="S169" i="3"/>
  <c r="S158" i="3"/>
  <c r="S142" i="3"/>
  <c r="S131" i="3"/>
  <c r="S114" i="3"/>
  <c r="S104" i="3"/>
  <c r="S88" i="3"/>
  <c r="S77" i="3"/>
  <c r="S63" i="3"/>
  <c r="S46" i="3"/>
  <c r="S37" i="3"/>
  <c r="S21" i="3"/>
  <c r="S12" i="3"/>
  <c r="S190" i="3"/>
  <c r="S181" i="3"/>
  <c r="S171" i="3"/>
  <c r="S154" i="3"/>
  <c r="S139" i="3"/>
  <c r="S128" i="3"/>
  <c r="S112" i="3"/>
  <c r="S101" i="3"/>
  <c r="S86" i="3"/>
  <c r="S76" i="3"/>
  <c r="S53" i="3"/>
  <c r="S44" i="3"/>
  <c r="S27" i="3"/>
  <c r="S16" i="3"/>
  <c r="S192" i="3"/>
  <c r="S183" i="3"/>
  <c r="S162" i="3"/>
  <c r="S146" i="3"/>
  <c r="S118" i="3"/>
  <c r="S84" i="3"/>
  <c r="S56" i="3"/>
  <c r="S28" i="3"/>
  <c r="N78" i="3"/>
  <c r="N159" i="3"/>
  <c r="N134" i="3"/>
  <c r="N190" i="3"/>
  <c r="N128" i="3"/>
  <c r="N57" i="3"/>
  <c r="N32" i="3"/>
  <c r="N76" i="3"/>
  <c r="N142" i="3"/>
  <c r="N68" i="3"/>
  <c r="N144" i="3"/>
  <c r="N88" i="3"/>
  <c r="N91" i="3"/>
  <c r="N53" i="3"/>
  <c r="N84" i="3"/>
  <c r="N158" i="3"/>
  <c r="N102" i="3"/>
  <c r="N55" i="3"/>
  <c r="N157" i="3"/>
  <c r="N137" i="3"/>
  <c r="N8" i="3"/>
  <c r="N146" i="3"/>
  <c r="N86" i="3"/>
  <c r="N73" i="3"/>
  <c r="N151" i="3"/>
  <c r="N79" i="3"/>
  <c r="N129" i="3"/>
  <c r="N113" i="3"/>
  <c r="N74" i="3"/>
  <c r="N15" i="3"/>
  <c r="N25" i="3"/>
  <c r="N82" i="3"/>
  <c r="N85" i="3"/>
  <c r="N119" i="3"/>
  <c r="N14" i="3"/>
  <c r="N118" i="3"/>
  <c r="N40" i="3"/>
  <c r="N98" i="3"/>
  <c r="N141" i="3"/>
  <c r="N10" i="3"/>
  <c r="N39" i="3"/>
  <c r="N26" i="3"/>
  <c r="N29" i="3"/>
  <c r="N183" i="3"/>
  <c r="N160" i="3"/>
  <c r="N131" i="3"/>
  <c r="N24" i="3"/>
  <c r="N202" i="3"/>
  <c r="N41" i="3"/>
  <c r="N132" i="3"/>
  <c r="N150" i="3"/>
  <c r="N139" i="3"/>
  <c r="N17" i="3"/>
  <c r="N19" i="3"/>
  <c r="N5" i="3"/>
  <c r="N124" i="3"/>
  <c r="N162" i="3"/>
  <c r="N4" i="3"/>
  <c r="N72" i="3"/>
  <c r="N38" i="3"/>
  <c r="N63" i="3"/>
  <c r="N20" i="3"/>
  <c r="N67" i="3"/>
  <c r="N45" i="3"/>
  <c r="N87" i="3"/>
  <c r="N33" i="3"/>
  <c r="N120" i="3"/>
  <c r="N27" i="3"/>
  <c r="N136" i="3"/>
  <c r="N149" i="3"/>
  <c r="N9" i="3"/>
  <c r="N121" i="3"/>
  <c r="N130" i="3"/>
  <c r="N155" i="3"/>
  <c r="N95" i="3"/>
  <c r="N109" i="3"/>
  <c r="N154" i="3"/>
  <c r="N117" i="3"/>
  <c r="N93" i="3"/>
  <c r="N165" i="3"/>
  <c r="N6" i="3"/>
  <c r="N156" i="3"/>
  <c r="N28" i="3"/>
  <c r="N189" i="3"/>
  <c r="N90" i="3"/>
  <c r="N106" i="3"/>
  <c r="N37" i="3"/>
  <c r="N13" i="3"/>
  <c r="N49" i="3"/>
  <c r="N108" i="3"/>
  <c r="N48" i="3"/>
  <c r="N99" i="3"/>
  <c r="N80" i="3"/>
  <c r="N143" i="3"/>
  <c r="N60" i="3"/>
  <c r="N111" i="3"/>
  <c r="N59" i="3"/>
  <c r="N125" i="3"/>
  <c r="N7" i="3"/>
  <c r="N123" i="3"/>
  <c r="N52" i="3"/>
  <c r="N34" i="3"/>
  <c r="N180" i="3"/>
  <c r="N198" i="3"/>
  <c r="N103" i="3"/>
  <c r="N83" i="3"/>
  <c r="N44" i="3"/>
  <c r="N126" i="3"/>
  <c r="N127" i="3"/>
  <c r="N21" i="3"/>
  <c r="N58" i="3"/>
  <c r="N135" i="3"/>
  <c r="N22" i="3"/>
  <c r="N31" i="3"/>
  <c r="N105" i="3"/>
  <c r="N36" i="3"/>
  <c r="N56" i="3"/>
  <c r="N101" i="3"/>
  <c r="N18" i="3"/>
  <c r="N110" i="3"/>
  <c r="N23" i="3"/>
  <c r="N200" i="3"/>
  <c r="N96" i="3"/>
  <c r="N116" i="3"/>
  <c r="N89" i="3"/>
  <c r="N51" i="3"/>
  <c r="N104" i="3"/>
  <c r="N185" i="3"/>
  <c r="N166" i="3"/>
  <c r="N173" i="3"/>
  <c r="N188" i="3"/>
  <c r="N194" i="3"/>
  <c r="N169" i="3"/>
  <c r="N177" i="3"/>
  <c r="N164" i="3"/>
  <c r="N170" i="3"/>
  <c r="N167" i="3"/>
  <c r="N187" i="3"/>
  <c r="N186" i="3"/>
  <c r="N192" i="3"/>
  <c r="N199" i="3"/>
  <c r="N168" i="3"/>
  <c r="N191" i="3"/>
  <c r="N184" i="3"/>
  <c r="N176" i="3"/>
  <c r="N195" i="3"/>
  <c r="T143" i="7"/>
  <c r="N181" i="3"/>
  <c r="N64" i="3"/>
  <c r="N35" i="3"/>
  <c r="N11" i="3"/>
  <c r="N178" i="3"/>
  <c r="N16" i="3"/>
  <c r="N30" i="3"/>
  <c r="T6" i="7"/>
  <c r="T177" i="7"/>
  <c r="T97" i="7"/>
  <c r="T196" i="7"/>
  <c r="T137" i="7"/>
  <c r="T109" i="7"/>
  <c r="T119" i="7"/>
  <c r="T27" i="7"/>
  <c r="T120" i="7"/>
  <c r="T186" i="7"/>
  <c r="T102" i="7"/>
  <c r="T104" i="7"/>
  <c r="N69" i="3"/>
  <c r="N152" i="3"/>
  <c r="N62" i="3"/>
  <c r="N65" i="3"/>
  <c r="T138" i="7"/>
  <c r="N75" i="3"/>
  <c r="N147" i="3"/>
  <c r="N107" i="3"/>
  <c r="T88" i="7"/>
  <c r="T141" i="7"/>
  <c r="T152" i="7"/>
  <c r="T114" i="7"/>
  <c r="T199" i="7"/>
  <c r="T9" i="7"/>
  <c r="T126" i="7"/>
  <c r="T166" i="7"/>
  <c r="N175" i="3"/>
  <c r="T159" i="7"/>
  <c r="T148" i="7"/>
  <c r="N153" i="3"/>
  <c r="N114" i="3"/>
  <c r="N50" i="3"/>
  <c r="N94" i="3"/>
  <c r="N140" i="3"/>
  <c r="T18" i="7"/>
  <c r="T180" i="7"/>
  <c r="T81" i="7"/>
  <c r="T65" i="7"/>
  <c r="N161" i="3"/>
  <c r="N97" i="3"/>
  <c r="N148" i="3"/>
  <c r="N196" i="3"/>
  <c r="N92" i="3"/>
  <c r="T181" i="7"/>
  <c r="T170" i="7"/>
  <c r="T197" i="7"/>
  <c r="T10" i="7"/>
  <c r="T113" i="7"/>
  <c r="T116" i="7"/>
  <c r="T175" i="7"/>
  <c r="T193" i="7"/>
  <c r="T183" i="7"/>
  <c r="T94" i="7"/>
  <c r="T7" i="7"/>
  <c r="T73" i="7"/>
  <c r="N77" i="3"/>
  <c r="N71" i="3"/>
  <c r="N70" i="3"/>
  <c r="N47" i="3"/>
  <c r="T87" i="7"/>
  <c r="T43" i="7"/>
  <c r="T189" i="7"/>
  <c r="T67" i="7"/>
  <c r="T5" i="7"/>
  <c r="N66" i="3"/>
  <c r="T130" i="7"/>
  <c r="T190" i="7"/>
  <c r="T40" i="7"/>
  <c r="T195" i="7"/>
  <c r="T55" i="7"/>
  <c r="T127" i="7"/>
  <c r="T168" i="7"/>
  <c r="T139" i="7"/>
  <c r="T146" i="7"/>
  <c r="T17" i="7"/>
  <c r="T89" i="7"/>
  <c r="T100" i="7"/>
  <c r="T64" i="7"/>
  <c r="T160" i="7"/>
  <c r="T34" i="7"/>
  <c r="T22" i="7"/>
  <c r="T59" i="7"/>
  <c r="T38" i="7"/>
  <c r="T123" i="7"/>
  <c r="T131" i="7"/>
  <c r="T178" i="7"/>
  <c r="T174" i="7"/>
  <c r="T52" i="7"/>
  <c r="T61" i="7"/>
  <c r="T122" i="7"/>
  <c r="N174" i="3"/>
  <c r="N61" i="3"/>
  <c r="T149" i="7"/>
  <c r="T125" i="7"/>
  <c r="T145" i="7"/>
  <c r="T75" i="7"/>
  <c r="T184" i="7"/>
  <c r="T99" i="7"/>
  <c r="T25" i="7"/>
  <c r="T142" i="7"/>
  <c r="T8" i="7"/>
  <c r="T79" i="7"/>
  <c r="T84" i="7"/>
  <c r="T56" i="7"/>
  <c r="T48" i="7"/>
  <c r="T144" i="7"/>
  <c r="T132" i="7"/>
  <c r="T153" i="7"/>
  <c r="T156" i="7"/>
  <c r="T86" i="7"/>
  <c r="T115" i="7"/>
  <c r="T158" i="7"/>
  <c r="T85" i="7"/>
  <c r="T90" i="7"/>
  <c r="T111" i="7"/>
  <c r="T133" i="7"/>
  <c r="N12" i="3"/>
  <c r="N197" i="3"/>
  <c r="T14" i="7"/>
  <c r="T172" i="7"/>
  <c r="T151" i="7"/>
  <c r="T78" i="7"/>
  <c r="T26" i="7"/>
  <c r="T20" i="7"/>
  <c r="T57" i="7"/>
  <c r="T68" i="7"/>
  <c r="T105" i="7"/>
  <c r="T32" i="7"/>
  <c r="T128" i="7"/>
  <c r="T3" i="7"/>
  <c r="T50" i="7"/>
  <c r="T135" i="7"/>
  <c r="T66" i="7"/>
  <c r="T49" i="7"/>
  <c r="T31" i="7"/>
  <c r="T41" i="7"/>
  <c r="T147" i="7"/>
  <c r="T63" i="7"/>
  <c r="T74" i="7"/>
  <c r="N81" i="3"/>
  <c r="N201" i="3"/>
  <c r="T165" i="7"/>
  <c r="T154" i="7"/>
  <c r="T82" i="7"/>
  <c r="T91" i="7"/>
  <c r="T4" i="7"/>
  <c r="T155" i="7"/>
  <c r="T47" i="7"/>
  <c r="T58" i="7"/>
  <c r="T106" i="7"/>
  <c r="T16" i="7"/>
  <c r="T112" i="7"/>
  <c r="N42" i="3"/>
  <c r="T157" i="7"/>
  <c r="T173" i="7"/>
  <c r="T42" i="7"/>
  <c r="T101" i="7"/>
  <c r="T108" i="7"/>
  <c r="N179" i="3"/>
  <c r="N122" i="3"/>
  <c r="N133" i="3"/>
  <c r="N145" i="3"/>
  <c r="T54" i="7"/>
  <c r="T107" i="7"/>
  <c r="T37" i="7"/>
  <c r="T36" i="7"/>
  <c r="T117" i="7"/>
  <c r="T129" i="7"/>
  <c r="N112" i="3"/>
  <c r="T19" i="7"/>
  <c r="T161" i="7"/>
  <c r="T136" i="7"/>
  <c r="T46" i="7"/>
  <c r="T35" i="7"/>
  <c r="T201" i="7"/>
  <c r="T110" i="7"/>
  <c r="T53" i="7"/>
  <c r="T187" i="7"/>
  <c r="T95" i="7"/>
  <c r="T71" i="7"/>
  <c r="T93" i="7"/>
  <c r="N46" i="3"/>
  <c r="N43" i="3"/>
  <c r="T140" i="7"/>
  <c r="T11" i="7"/>
  <c r="T2" i="7"/>
  <c r="T62" i="7"/>
  <c r="T51" i="7"/>
  <c r="T15" i="7"/>
  <c r="T118" i="7"/>
  <c r="T171" i="7"/>
  <c r="T69" i="7"/>
  <c r="T194" i="7"/>
  <c r="T23" i="7"/>
  <c r="T60" i="7"/>
  <c r="N54" i="3"/>
  <c r="T33" i="7"/>
  <c r="T169" i="7"/>
  <c r="T30" i="7"/>
  <c r="T164" i="7"/>
  <c r="T83" i="7"/>
  <c r="T200" i="7"/>
  <c r="T44" i="7"/>
  <c r="T182" i="7"/>
  <c r="T92" i="7"/>
  <c r="T72" i="7"/>
  <c r="N193" i="3"/>
  <c r="N163" i="3"/>
  <c r="N115" i="3"/>
  <c r="N182" i="3"/>
  <c r="T185" i="7"/>
  <c r="T167" i="7"/>
  <c r="T98" i="7"/>
  <c r="T70" i="7"/>
  <c r="T21" i="7"/>
  <c r="T28" i="7"/>
  <c r="T45" i="7"/>
  <c r="T179" i="7"/>
  <c r="T198" i="7"/>
  <c r="T96" i="7"/>
  <c r="T192" i="7"/>
  <c r="T191" i="7"/>
  <c r="N138" i="3"/>
  <c r="N172" i="3"/>
  <c r="N100" i="3"/>
  <c r="N171" i="3"/>
  <c r="T124" i="7"/>
  <c r="T103" i="7"/>
  <c r="T12" i="7"/>
  <c r="T162" i="7"/>
  <c r="T134" i="7"/>
  <c r="T150" i="7"/>
  <c r="T29" i="7"/>
  <c r="T24" i="7"/>
  <c r="T39" i="7"/>
  <c r="T77" i="7"/>
  <c r="T121" i="7"/>
  <c r="T13" i="7"/>
  <c r="T163" i="7"/>
  <c r="T76" i="7"/>
  <c r="T80" i="7"/>
  <c r="T176" i="7"/>
  <c r="T188" i="7"/>
  <c r="M138" i="3"/>
  <c r="M121" i="3"/>
  <c r="M124" i="3"/>
  <c r="M61" i="3"/>
  <c r="M143" i="3"/>
  <c r="M118" i="3"/>
  <c r="M35" i="3"/>
  <c r="M95" i="3"/>
  <c r="M37" i="3"/>
  <c r="M3" i="3"/>
  <c r="M136" i="3"/>
  <c r="M78" i="3"/>
  <c r="M86" i="3"/>
  <c r="M150" i="3"/>
  <c r="M82" i="3"/>
  <c r="M47" i="3"/>
  <c r="M79" i="3"/>
  <c r="M87" i="3"/>
  <c r="M101" i="3"/>
  <c r="M27" i="3"/>
  <c r="M109" i="3"/>
  <c r="M144" i="3"/>
  <c r="M57" i="3"/>
  <c r="M74" i="3"/>
  <c r="M9" i="3"/>
  <c r="M92" i="3"/>
  <c r="M148" i="3"/>
  <c r="M7" i="3"/>
  <c r="M41" i="3"/>
  <c r="M156" i="3"/>
  <c r="M126" i="3"/>
  <c r="M146" i="3"/>
  <c r="M123" i="3"/>
  <c r="M66" i="3"/>
  <c r="M56" i="3"/>
  <c r="M13" i="3"/>
  <c r="M45" i="3"/>
  <c r="M114" i="3"/>
  <c r="M8" i="3"/>
  <c r="M108" i="3"/>
  <c r="M116" i="3"/>
  <c r="M38" i="3"/>
  <c r="M94" i="3"/>
  <c r="M32" i="3"/>
  <c r="M133" i="3"/>
  <c r="M43" i="3"/>
  <c r="M30" i="3"/>
  <c r="M17" i="3"/>
  <c r="M36" i="3"/>
  <c r="M12" i="3"/>
  <c r="M100" i="3"/>
  <c r="M134" i="3"/>
  <c r="M52" i="3"/>
  <c r="M16" i="3"/>
  <c r="M145" i="3"/>
  <c r="M58" i="3"/>
  <c r="M31" i="3"/>
  <c r="M159" i="3"/>
  <c r="M160" i="3"/>
  <c r="M50" i="3"/>
  <c r="M122" i="3"/>
  <c r="M14" i="3"/>
  <c r="M11" i="3"/>
  <c r="M69" i="3"/>
  <c r="M119" i="3"/>
  <c r="M142" i="3"/>
  <c r="M44" i="3"/>
  <c r="M89" i="3"/>
  <c r="M62" i="3"/>
  <c r="M149" i="3"/>
  <c r="M23" i="3"/>
  <c r="M67" i="3"/>
  <c r="M54" i="3"/>
  <c r="M157" i="3"/>
  <c r="M135" i="3"/>
  <c r="M53" i="3"/>
  <c r="M97" i="3"/>
  <c r="M98" i="3"/>
  <c r="M75" i="3"/>
  <c r="M34" i="3"/>
  <c r="M24" i="3"/>
  <c r="M64" i="3"/>
  <c r="M104" i="3"/>
  <c r="M117" i="3"/>
  <c r="M51" i="3"/>
  <c r="M125" i="3"/>
  <c r="M154" i="3"/>
  <c r="M162" i="3"/>
  <c r="M6" i="3"/>
  <c r="M60" i="3"/>
  <c r="M33" i="3"/>
  <c r="M39" i="3"/>
  <c r="M130" i="3"/>
  <c r="M55" i="3"/>
  <c r="M22" i="3"/>
  <c r="M99" i="3"/>
  <c r="M115" i="3"/>
  <c r="M129" i="3"/>
  <c r="M111" i="3"/>
  <c r="M26" i="3"/>
  <c r="M96" i="3"/>
  <c r="M85" i="3"/>
  <c r="M25" i="3"/>
  <c r="M158" i="3"/>
  <c r="M18" i="3"/>
  <c r="M120" i="3"/>
  <c r="M106" i="3"/>
  <c r="M88" i="3"/>
  <c r="M5" i="3"/>
  <c r="M140" i="3"/>
  <c r="M91" i="3"/>
  <c r="M155" i="3"/>
  <c r="M68" i="3"/>
  <c r="M102" i="3"/>
  <c r="M80" i="3"/>
  <c r="M42" i="3"/>
  <c r="M10" i="3"/>
  <c r="M90" i="3"/>
  <c r="M19" i="3"/>
  <c r="M153" i="3"/>
  <c r="M65" i="3"/>
  <c r="M137" i="3"/>
  <c r="M49" i="3"/>
  <c r="M63" i="3"/>
  <c r="M76" i="3"/>
  <c r="M110" i="3"/>
  <c r="M103" i="3"/>
  <c r="M171" i="3"/>
  <c r="M187" i="3"/>
  <c r="M189" i="3"/>
  <c r="M190" i="3"/>
  <c r="M172" i="3"/>
  <c r="M188" i="3"/>
  <c r="M173" i="3"/>
  <c r="M192" i="3"/>
  <c r="M169" i="3"/>
  <c r="M201" i="3"/>
  <c r="M175" i="3"/>
  <c r="M191" i="3"/>
  <c r="M176" i="3"/>
  <c r="M177" i="3"/>
  <c r="M193" i="3"/>
  <c r="M178" i="3"/>
  <c r="M194" i="3"/>
  <c r="M164" i="3"/>
  <c r="M198" i="3"/>
  <c r="M163" i="3"/>
  <c r="M179" i="3"/>
  <c r="M195" i="3"/>
  <c r="M196" i="3"/>
  <c r="M166" i="3"/>
  <c r="M184" i="3"/>
  <c r="M180" i="3"/>
  <c r="M165" i="3"/>
  <c r="M181" i="3"/>
  <c r="M197" i="3"/>
  <c r="M182" i="3"/>
  <c r="M200" i="3"/>
  <c r="M167" i="3"/>
  <c r="M183" i="3"/>
  <c r="M199" i="3"/>
  <c r="M168" i="3"/>
  <c r="M170" i="3"/>
  <c r="M186" i="3"/>
  <c r="M202" i="3"/>
  <c r="M174" i="3"/>
  <c r="M185" i="3"/>
  <c r="M40" i="3"/>
  <c r="M73" i="3"/>
  <c r="M46" i="3"/>
  <c r="M132" i="3"/>
  <c r="M127" i="3"/>
  <c r="M93" i="3"/>
  <c r="M151" i="3"/>
  <c r="M131" i="3"/>
  <c r="M71" i="3"/>
  <c r="M72" i="3"/>
  <c r="M147" i="3"/>
  <c r="M84" i="3"/>
  <c r="M139" i="3"/>
  <c r="M21" i="3"/>
  <c r="M113" i="3"/>
  <c r="M81" i="3"/>
  <c r="M112" i="3"/>
  <c r="M15" i="3"/>
  <c r="M29" i="3"/>
  <c r="M105" i="3"/>
  <c r="M141" i="3"/>
  <c r="M83" i="3"/>
  <c r="M161" i="3"/>
  <c r="M152" i="3"/>
  <c r="M20" i="3"/>
  <c r="M4" i="3"/>
  <c r="M48" i="3"/>
  <c r="M59" i="3"/>
  <c r="M77" i="3"/>
  <c r="M128" i="3"/>
  <c r="M107" i="3"/>
  <c r="M70" i="3"/>
  <c r="M28" i="3"/>
  <c r="W28" i="3" l="1"/>
  <c r="U150" i="7"/>
  <c r="U140" i="7"/>
  <c r="U129" i="7"/>
  <c r="U112" i="7"/>
  <c r="U56" i="7"/>
  <c r="U52" i="7"/>
  <c r="U134" i="7"/>
  <c r="U117" i="7"/>
  <c r="U84" i="7"/>
  <c r="U127" i="7"/>
  <c r="U73" i="7"/>
  <c r="U120" i="7"/>
  <c r="U79" i="7"/>
  <c r="U55" i="7"/>
  <c r="U65" i="7"/>
  <c r="U114" i="7"/>
  <c r="U45" i="7"/>
  <c r="U61" i="7"/>
  <c r="U49" i="7"/>
  <c r="U98" i="7"/>
  <c r="U93" i="7"/>
  <c r="U58" i="7"/>
  <c r="U66" i="7"/>
  <c r="U131" i="7"/>
  <c r="U94" i="7"/>
  <c r="U81" i="7"/>
  <c r="U152" i="7"/>
  <c r="U119" i="7"/>
  <c r="U147" i="7"/>
  <c r="U103" i="7"/>
  <c r="U71" i="7"/>
  <c r="U107" i="7"/>
  <c r="U47" i="7"/>
  <c r="U135" i="7"/>
  <c r="U133" i="7"/>
  <c r="U142" i="7"/>
  <c r="U123" i="7"/>
  <c r="U141" i="7"/>
  <c r="U109" i="7"/>
  <c r="U48" i="7"/>
  <c r="U70" i="7"/>
  <c r="U106" i="7"/>
  <c r="U124" i="7"/>
  <c r="U60" i="7"/>
  <c r="U95" i="7"/>
  <c r="U54" i="7"/>
  <c r="U155" i="7"/>
  <c r="U50" i="7"/>
  <c r="U111" i="7"/>
  <c r="U88" i="7"/>
  <c r="U137" i="7"/>
  <c r="U102" i="7"/>
  <c r="U90" i="7"/>
  <c r="U99" i="7"/>
  <c r="U59" i="7"/>
  <c r="U130" i="7"/>
  <c r="U80" i="7"/>
  <c r="U53" i="7"/>
  <c r="U91" i="7"/>
  <c r="U128" i="7"/>
  <c r="U85" i="7"/>
  <c r="U116" i="7"/>
  <c r="U97" i="7"/>
  <c r="U83" i="7"/>
  <c r="U126" i="7"/>
  <c r="U76" i="7"/>
  <c r="U69" i="7"/>
  <c r="U110" i="7"/>
  <c r="U82" i="7"/>
  <c r="U158" i="7"/>
  <c r="U75" i="7"/>
  <c r="U113" i="7"/>
  <c r="U154" i="7"/>
  <c r="U105" i="7"/>
  <c r="U115" i="7"/>
  <c r="U145" i="7"/>
  <c r="U160" i="7"/>
  <c r="U67" i="7"/>
  <c r="U138" i="7"/>
  <c r="U139" i="7"/>
  <c r="U72" i="7"/>
  <c r="U118" i="7"/>
  <c r="U108" i="7"/>
  <c r="U68" i="7"/>
  <c r="U86" i="7"/>
  <c r="U125" i="7"/>
  <c r="U64" i="7"/>
  <c r="U151" i="7"/>
  <c r="U121" i="7"/>
  <c r="U92" i="7"/>
  <c r="U46" i="7"/>
  <c r="U101" i="7"/>
  <c r="U57" i="7"/>
  <c r="U156" i="7"/>
  <c r="U149" i="7"/>
  <c r="U100" i="7"/>
  <c r="U148" i="7"/>
  <c r="U77" i="7"/>
  <c r="U96" i="7"/>
  <c r="U51" i="7"/>
  <c r="U136" i="7"/>
  <c r="U153" i="7"/>
  <c r="U89" i="7"/>
  <c r="U87" i="7"/>
  <c r="U159" i="7"/>
  <c r="U62" i="7"/>
  <c r="U161" i="7"/>
  <c r="U74" i="7"/>
  <c r="U132" i="7"/>
  <c r="U157" i="7"/>
  <c r="U63" i="7"/>
  <c r="U78" i="7"/>
  <c r="U144" i="7"/>
  <c r="U122" i="7"/>
  <c r="U146" i="7"/>
  <c r="U104" i="7"/>
  <c r="U143" i="7"/>
  <c r="W11" i="3"/>
  <c r="W19" i="3"/>
  <c r="W46" i="3"/>
  <c r="W130" i="3"/>
  <c r="W71" i="3"/>
  <c r="W114" i="3"/>
  <c r="W138" i="3"/>
  <c r="W14" i="3"/>
  <c r="U13" i="7"/>
  <c r="W17" i="3"/>
  <c r="U16" i="7"/>
  <c r="W64" i="3"/>
  <c r="W134" i="3"/>
  <c r="U17" i="7"/>
  <c r="W13" i="3"/>
  <c r="U12" i="7"/>
  <c r="W16" i="3"/>
  <c r="U15" i="7"/>
  <c r="W104" i="3"/>
  <c r="W66" i="3"/>
  <c r="W52" i="3"/>
  <c r="U41" i="7"/>
  <c r="W58" i="3"/>
  <c r="W96" i="3"/>
  <c r="U36" i="7"/>
  <c r="U31" i="7"/>
  <c r="U20" i="7"/>
  <c r="W86" i="3"/>
  <c r="U8" i="7"/>
  <c r="U5" i="7"/>
  <c r="W29" i="3"/>
  <c r="U28" i="7"/>
  <c r="W105" i="3"/>
  <c r="U2" i="7"/>
  <c r="U37" i="7"/>
  <c r="W109" i="3"/>
  <c r="U26" i="7"/>
  <c r="U9" i="7"/>
  <c r="W22" i="3"/>
  <c r="U21" i="7"/>
  <c r="W54" i="3"/>
  <c r="U4" i="7"/>
  <c r="U25" i="7"/>
  <c r="W73" i="3"/>
  <c r="W12" i="3"/>
  <c r="U11" i="7"/>
  <c r="W43" i="3"/>
  <c r="U42" i="7"/>
  <c r="W136" i="3"/>
  <c r="U43" i="7"/>
  <c r="W99" i="3"/>
  <c r="W93" i="3"/>
  <c r="W121" i="3"/>
  <c r="W83" i="3"/>
  <c r="U38" i="7"/>
  <c r="U18" i="7"/>
  <c r="W82" i="3"/>
  <c r="U35" i="7"/>
  <c r="W155" i="3"/>
  <c r="U3" i="7"/>
  <c r="U14" i="7"/>
  <c r="W122" i="3"/>
  <c r="W45" i="3"/>
  <c r="U44" i="7"/>
  <c r="W47" i="3"/>
  <c r="W89" i="3"/>
  <c r="W110" i="3"/>
  <c r="U22" i="7"/>
  <c r="U40" i="7"/>
  <c r="W78" i="3"/>
  <c r="U34" i="7"/>
  <c r="W40" i="3"/>
  <c r="U39" i="7"/>
  <c r="W84" i="3"/>
  <c r="W25" i="3"/>
  <c r="U24" i="7"/>
  <c r="W24" i="3"/>
  <c r="U23" i="7"/>
  <c r="W81" i="3"/>
  <c r="W30" i="3"/>
  <c r="U29" i="7"/>
  <c r="W31" i="3"/>
  <c r="U30" i="7"/>
  <c r="U19" i="7"/>
  <c r="W77" i="3"/>
  <c r="W70" i="3"/>
  <c r="U10" i="7"/>
  <c r="U6" i="7"/>
  <c r="W97" i="3"/>
  <c r="W34" i="3"/>
  <c r="U33" i="7"/>
  <c r="W75" i="3"/>
  <c r="U32" i="7"/>
  <c r="U7" i="7"/>
  <c r="U27" i="7"/>
  <c r="W133" i="3"/>
  <c r="W57" i="3"/>
  <c r="W39" i="3"/>
  <c r="W44" i="3"/>
  <c r="W102" i="3"/>
  <c r="W107" i="3"/>
  <c r="W51" i="3"/>
  <c r="W21" i="3"/>
  <c r="W85" i="3"/>
  <c r="W60" i="3"/>
  <c r="W7" i="3"/>
  <c r="W59" i="3"/>
  <c r="W4" i="3"/>
  <c r="W27" i="3"/>
  <c r="W80" i="3"/>
  <c r="W23" i="3"/>
  <c r="W141" i="3"/>
  <c r="W111" i="3"/>
  <c r="W98" i="3"/>
  <c r="W127" i="3"/>
  <c r="W48" i="3"/>
  <c r="W88" i="3"/>
  <c r="W139" i="3"/>
  <c r="W79" i="3"/>
  <c r="W9" i="3"/>
  <c r="W35" i="3"/>
  <c r="W63" i="3"/>
  <c r="W10" i="3"/>
  <c r="W156" i="3"/>
  <c r="W152" i="3"/>
  <c r="W143" i="3"/>
  <c r="W3" i="3"/>
  <c r="W112" i="3"/>
  <c r="W137" i="3"/>
  <c r="W160" i="3"/>
  <c r="W113" i="3"/>
  <c r="W120" i="3"/>
  <c r="W129" i="3"/>
  <c r="W145" i="3"/>
  <c r="W172" i="3"/>
  <c r="W193" i="3"/>
  <c r="W198" i="3"/>
  <c r="W188" i="3"/>
  <c r="W196" i="3"/>
  <c r="W168" i="3"/>
  <c r="W177" i="3"/>
  <c r="W199" i="3"/>
  <c r="W165" i="3"/>
  <c r="W184" i="3"/>
  <c r="W144" i="3"/>
  <c r="W173" i="3"/>
  <c r="W178" i="3"/>
  <c r="W200" i="3"/>
  <c r="W131" i="3"/>
  <c r="W182" i="3"/>
  <c r="W117" i="3"/>
  <c r="W189" i="3"/>
  <c r="W194" i="3"/>
  <c r="W169" i="3"/>
  <c r="W147" i="3"/>
  <c r="W197" i="3"/>
  <c r="W180" i="3"/>
  <c r="W185" i="3"/>
  <c r="W119" i="3"/>
  <c r="W183" i="3"/>
  <c r="W202" i="3"/>
  <c r="W151" i="3"/>
  <c r="W162" i="3"/>
  <c r="W174" i="3"/>
  <c r="W163" i="3"/>
  <c r="W135" i="3"/>
  <c r="W190" i="3"/>
  <c r="W179" i="3"/>
  <c r="W150" i="3"/>
  <c r="W128" i="3"/>
  <c r="W192" i="3"/>
  <c r="W195" i="3"/>
  <c r="W158" i="3"/>
  <c r="W175" i="3"/>
  <c r="W164" i="3"/>
  <c r="W118" i="3"/>
  <c r="W115" i="3"/>
  <c r="W191" i="3"/>
  <c r="W167" i="3"/>
  <c r="W116" i="3"/>
  <c r="W171" i="3"/>
  <c r="W132" i="3"/>
  <c r="W176" i="3"/>
  <c r="W186" i="3"/>
  <c r="W161" i="3"/>
  <c r="W166" i="3"/>
  <c r="W142" i="3"/>
  <c r="W201" i="3"/>
  <c r="W181" i="3"/>
  <c r="W125" i="3"/>
  <c r="W170" i="3"/>
  <c r="W187" i="3"/>
  <c r="W36" i="3"/>
  <c r="W5" i="3"/>
  <c r="W26" i="3"/>
  <c r="W153" i="3"/>
  <c r="W92" i="3"/>
  <c r="W15" i="3"/>
  <c r="W100" i="3"/>
  <c r="W65" i="3"/>
  <c r="W56" i="3"/>
  <c r="W76" i="3"/>
  <c r="W101" i="3"/>
  <c r="W91" i="3"/>
  <c r="W146" i="3"/>
  <c r="W123" i="3"/>
  <c r="W90" i="3"/>
  <c r="W41" i="3"/>
  <c r="W126" i="3"/>
  <c r="W62" i="3"/>
  <c r="W18" i="3"/>
  <c r="W148" i="3"/>
  <c r="W159" i="3"/>
  <c r="W53" i="3"/>
  <c r="W74" i="3"/>
  <c r="W61" i="3"/>
  <c r="W20" i="3"/>
  <c r="W37" i="3"/>
  <c r="W42" i="3"/>
  <c r="W140" i="3"/>
  <c r="W8" i="3"/>
  <c r="W149" i="3"/>
  <c r="W38" i="3"/>
  <c r="W32" i="3"/>
  <c r="W33" i="3"/>
  <c r="W87" i="3"/>
  <c r="W6" i="3"/>
  <c r="W103" i="3"/>
  <c r="W94" i="3"/>
  <c r="W108" i="3"/>
  <c r="W50" i="3"/>
  <c r="W106" i="3"/>
  <c r="W157" i="3"/>
  <c r="W68" i="3"/>
  <c r="W72" i="3"/>
  <c r="W55" i="3"/>
  <c r="W67" i="3"/>
  <c r="W69" i="3"/>
  <c r="W154" i="3"/>
  <c r="W49" i="3"/>
  <c r="W124" i="3"/>
  <c r="W95" i="3"/>
  <c r="L42" i="3" l="1"/>
  <c r="L27" i="3"/>
  <c r="L23" i="3"/>
  <c r="L30" i="3"/>
  <c r="L28" i="3"/>
  <c r="L24" i="3"/>
  <c r="L33" i="3"/>
  <c r="L39" i="3"/>
  <c r="L20" i="3"/>
  <c r="L44" i="3"/>
  <c r="L25" i="3"/>
  <c r="L19" i="3"/>
  <c r="L8" i="3"/>
  <c r="L34" i="3"/>
  <c r="L4" i="3"/>
  <c r="L14" i="3"/>
  <c r="L22" i="3"/>
  <c r="L35" i="3"/>
  <c r="L10" i="3"/>
  <c r="L37" i="3"/>
  <c r="L41" i="3"/>
  <c r="L31" i="3"/>
  <c r="L5" i="3"/>
  <c r="L32" i="3"/>
  <c r="L45" i="3"/>
  <c r="L6" i="3"/>
  <c r="L38" i="3"/>
  <c r="L159" i="3"/>
  <c r="L123" i="3"/>
  <c r="L112" i="3"/>
  <c r="L83" i="3"/>
  <c r="L53" i="3"/>
  <c r="L167" i="3"/>
  <c r="L90" i="3"/>
  <c r="L157" i="3"/>
  <c r="L72" i="3"/>
  <c r="L96" i="3"/>
  <c r="L116" i="3"/>
  <c r="L140" i="3"/>
  <c r="L82" i="3"/>
  <c r="L173" i="3"/>
  <c r="L73" i="3"/>
  <c r="L99" i="3"/>
  <c r="L111" i="3"/>
  <c r="L55" i="3"/>
  <c r="L139" i="3"/>
  <c r="L67" i="3"/>
  <c r="L120" i="3"/>
  <c r="L142" i="3"/>
  <c r="L197" i="3"/>
  <c r="L180" i="3"/>
  <c r="L156" i="3"/>
  <c r="L66" i="3"/>
  <c r="L151" i="3"/>
  <c r="L128" i="3"/>
  <c r="L97" i="3"/>
  <c r="L129" i="3"/>
  <c r="L89" i="3"/>
  <c r="L191" i="3"/>
  <c r="L190" i="3"/>
  <c r="L103" i="3"/>
  <c r="L110" i="3"/>
  <c r="L117" i="3"/>
  <c r="L76" i="3"/>
  <c r="L108" i="3"/>
  <c r="L107" i="3"/>
  <c r="L105" i="3"/>
  <c r="L104" i="3"/>
  <c r="L78" i="3"/>
  <c r="L179" i="3"/>
  <c r="L155" i="3"/>
  <c r="L74" i="3"/>
  <c r="L170" i="3"/>
  <c r="L186" i="3"/>
  <c r="L57" i="3"/>
  <c r="L121" i="3"/>
  <c r="L115" i="3"/>
  <c r="L133" i="3"/>
  <c r="L200" i="3"/>
  <c r="L58" i="3"/>
  <c r="L176" i="3"/>
  <c r="L60" i="3"/>
  <c r="L94" i="3"/>
  <c r="L93" i="3"/>
  <c r="L148" i="3"/>
  <c r="L100" i="3"/>
  <c r="L95" i="3"/>
  <c r="L171" i="3"/>
  <c r="L165" i="3"/>
  <c r="L84" i="3"/>
  <c r="L149" i="3"/>
  <c r="L132" i="3"/>
  <c r="L64" i="3"/>
  <c r="L85" i="3"/>
  <c r="L50" i="3"/>
  <c r="L195" i="3"/>
  <c r="L177" i="3"/>
  <c r="L169" i="3"/>
  <c r="L161" i="3"/>
  <c r="L49" i="3"/>
  <c r="L122" i="3"/>
  <c r="L56" i="3"/>
  <c r="L137" i="3"/>
  <c r="L124" i="3"/>
  <c r="L63" i="3"/>
  <c r="L75" i="3"/>
  <c r="L47" i="3"/>
  <c r="L69" i="3"/>
  <c r="L143" i="3"/>
  <c r="L184" i="3"/>
  <c r="L164" i="3"/>
  <c r="L183" i="3"/>
  <c r="L153" i="3"/>
  <c r="L54" i="3"/>
  <c r="L71" i="3"/>
  <c r="L126" i="3"/>
  <c r="L113" i="3"/>
  <c r="L51" i="3"/>
  <c r="L101" i="3"/>
  <c r="L160" i="3"/>
  <c r="L152" i="3"/>
  <c r="L59" i="3"/>
  <c r="L62" i="3"/>
  <c r="L119" i="3"/>
  <c r="L114" i="3"/>
  <c r="L65" i="3"/>
  <c r="L81" i="3"/>
  <c r="L46" i="3"/>
  <c r="L201" i="3"/>
  <c r="L166" i="3"/>
  <c r="L178" i="3"/>
  <c r="L172" i="3"/>
  <c r="L182" i="3"/>
  <c r="L118" i="3"/>
  <c r="L125" i="3"/>
  <c r="L135" i="3"/>
  <c r="L134" i="3"/>
  <c r="L79" i="3"/>
  <c r="L130" i="3"/>
  <c r="L68" i="3"/>
  <c r="L147" i="3"/>
  <c r="L87" i="3"/>
  <c r="L192" i="3"/>
  <c r="L185" i="3"/>
  <c r="L199" i="3"/>
  <c r="L198" i="3"/>
  <c r="L52" i="3"/>
  <c r="L141" i="3"/>
  <c r="L162" i="3"/>
  <c r="L106" i="3"/>
  <c r="L86" i="3"/>
  <c r="L61" i="3"/>
  <c r="L109" i="3"/>
  <c r="L158" i="3"/>
  <c r="L91" i="3"/>
  <c r="L175" i="3"/>
  <c r="L202" i="3"/>
  <c r="L181" i="3"/>
  <c r="L174" i="3"/>
  <c r="L136" i="3"/>
  <c r="L138" i="3"/>
  <c r="L48" i="3"/>
  <c r="L70" i="3"/>
  <c r="L196" i="3"/>
  <c r="L102" i="3"/>
  <c r="L150" i="3"/>
  <c r="L168" i="3"/>
  <c r="L194" i="3"/>
  <c r="L193" i="3"/>
  <c r="L144" i="3"/>
  <c r="L131" i="3"/>
  <c r="L154" i="3"/>
  <c r="L92" i="3"/>
  <c r="L145" i="3"/>
  <c r="L146" i="3"/>
  <c r="L189" i="3"/>
  <c r="L163" i="3"/>
  <c r="L98" i="3"/>
  <c r="L77" i="3"/>
  <c r="L88" i="3"/>
  <c r="L127" i="3"/>
  <c r="L187" i="3"/>
  <c r="L80" i="3"/>
  <c r="L16" i="3"/>
  <c r="L43" i="3"/>
  <c r="L15" i="3"/>
  <c r="L29" i="3"/>
  <c r="L13" i="3"/>
  <c r="L12" i="3"/>
  <c r="L18" i="3"/>
  <c r="L36" i="3"/>
  <c r="L9" i="3"/>
  <c r="L7" i="3"/>
  <c r="L40" i="3"/>
  <c r="L11" i="3"/>
  <c r="L26" i="3"/>
  <c r="L21" i="3"/>
  <c r="L17" i="3"/>
  <c r="L188" i="3"/>
  <c r="L3" i="3"/>
  <c r="A193" i="6"/>
  <c r="A25" i="6"/>
  <c r="A181" i="6"/>
  <c r="A37" i="6"/>
  <c r="A157" i="6"/>
  <c r="A169" i="6"/>
  <c r="A133" i="6"/>
  <c r="A73" i="6"/>
  <c r="A97" i="6"/>
  <c r="A121" i="6"/>
  <c r="A85" i="6"/>
  <c r="A61" i="6"/>
  <c r="A145" i="6"/>
  <c r="A109" i="6"/>
  <c r="A49" i="6"/>
  <c r="A168" i="6"/>
  <c r="A156" i="6"/>
  <c r="A120" i="6"/>
  <c r="A96" i="6"/>
  <c r="A84" i="6"/>
  <c r="A60" i="6"/>
  <c r="A24" i="6"/>
  <c r="A179" i="6"/>
  <c r="A167" i="6"/>
  <c r="A155" i="6"/>
  <c r="A143" i="6"/>
  <c r="A131" i="6"/>
  <c r="A119" i="6"/>
  <c r="A107" i="6"/>
  <c r="A95" i="6"/>
  <c r="A83" i="6"/>
  <c r="A71" i="6"/>
  <c r="A59" i="6"/>
  <c r="A47" i="6"/>
  <c r="A35" i="6"/>
  <c r="A190" i="6"/>
  <c r="A178" i="6"/>
  <c r="A166" i="6"/>
  <c r="A154" i="6"/>
  <c r="A142" i="6"/>
  <c r="A130" i="6"/>
  <c r="A118" i="6"/>
  <c r="A106" i="6"/>
  <c r="A94" i="6"/>
  <c r="A82" i="6"/>
  <c r="A70" i="6"/>
  <c r="A58" i="6"/>
  <c r="A46" i="6"/>
  <c r="A34" i="6"/>
  <c r="A180" i="6"/>
  <c r="A108" i="6"/>
  <c r="A36" i="6"/>
  <c r="A177" i="6"/>
  <c r="A141" i="6"/>
  <c r="A105" i="6"/>
  <c r="A173" i="6"/>
  <c r="A125" i="6"/>
  <c r="A65" i="6"/>
  <c r="A41" i="6"/>
  <c r="A200" i="6"/>
  <c r="A176" i="6"/>
  <c r="A140" i="6"/>
  <c r="A128" i="6"/>
  <c r="A116" i="6"/>
  <c r="A104" i="6"/>
  <c r="A92" i="6"/>
  <c r="A80" i="6"/>
  <c r="A68" i="6"/>
  <c r="A56" i="6"/>
  <c r="A32" i="6"/>
  <c r="A196" i="6"/>
  <c r="A184" i="6"/>
  <c r="A172" i="6"/>
  <c r="A160" i="6"/>
  <c r="A148" i="6"/>
  <c r="A136" i="6"/>
  <c r="A124" i="6"/>
  <c r="A112" i="6"/>
  <c r="A100" i="6"/>
  <c r="A88" i="6"/>
  <c r="A76" i="6"/>
  <c r="A64" i="6"/>
  <c r="A52" i="6"/>
  <c r="A40" i="6"/>
  <c r="A28" i="6"/>
  <c r="A192" i="6"/>
  <c r="A132" i="6"/>
  <c r="A48" i="6"/>
  <c r="A189" i="6"/>
  <c r="A165" i="6"/>
  <c r="A129" i="6"/>
  <c r="A117" i="6"/>
  <c r="A81" i="6"/>
  <c r="A57" i="6"/>
  <c r="A33" i="6"/>
  <c r="A197" i="6"/>
  <c r="A161" i="6"/>
  <c r="A137" i="6"/>
  <c r="A101" i="6"/>
  <c r="A89" i="6"/>
  <c r="A53" i="6"/>
  <c r="A29" i="6"/>
  <c r="A164" i="6"/>
  <c r="A199" i="6"/>
  <c r="A187" i="6"/>
  <c r="A175" i="6"/>
  <c r="A163" i="6"/>
  <c r="A151" i="6"/>
  <c r="A139" i="6"/>
  <c r="A127" i="6"/>
  <c r="A115" i="6"/>
  <c r="A103" i="6"/>
  <c r="A91" i="6"/>
  <c r="A79" i="6"/>
  <c r="A67" i="6"/>
  <c r="A55" i="6"/>
  <c r="A43" i="6"/>
  <c r="A31" i="6"/>
  <c r="A195" i="6"/>
  <c r="A183" i="6"/>
  <c r="A171" i="6"/>
  <c r="A159" i="6"/>
  <c r="A147" i="6"/>
  <c r="A135" i="6"/>
  <c r="A123" i="6"/>
  <c r="A111" i="6"/>
  <c r="A99" i="6"/>
  <c r="A87" i="6"/>
  <c r="A75" i="6"/>
  <c r="A63" i="6"/>
  <c r="A51" i="6"/>
  <c r="A39" i="6"/>
  <c r="A27" i="6"/>
  <c r="A69" i="6"/>
  <c r="A144" i="6"/>
  <c r="A72" i="6"/>
  <c r="A188" i="6"/>
  <c r="A44" i="6"/>
  <c r="A191" i="6"/>
  <c r="A201" i="6"/>
  <c r="A153" i="6"/>
  <c r="A93" i="6"/>
  <c r="A45" i="6"/>
  <c r="A185" i="6"/>
  <c r="A149" i="6"/>
  <c r="A113" i="6"/>
  <c r="A77" i="6"/>
  <c r="A152" i="6"/>
  <c r="A198" i="6"/>
  <c r="A186" i="6"/>
  <c r="A174" i="6"/>
  <c r="A162" i="6"/>
  <c r="A150" i="6"/>
  <c r="A138" i="6"/>
  <c r="A126" i="6"/>
  <c r="A114" i="6"/>
  <c r="A102" i="6"/>
  <c r="A90" i="6"/>
  <c r="A78" i="6"/>
  <c r="A66" i="6"/>
  <c r="A54" i="6"/>
  <c r="A42" i="6"/>
  <c r="A30" i="6"/>
  <c r="A194" i="6"/>
  <c r="A182" i="6"/>
  <c r="A170" i="6"/>
  <c r="A158" i="6"/>
  <c r="A146" i="6"/>
  <c r="A134" i="6"/>
  <c r="A122" i="6"/>
  <c r="A110" i="6"/>
  <c r="A98" i="6"/>
  <c r="A86" i="6"/>
  <c r="A74" i="6"/>
  <c r="A62" i="6"/>
  <c r="A50" i="6"/>
  <c r="A38" i="6"/>
  <c r="A26" i="6"/>
  <c r="D94" i="3"/>
  <c r="F122" i="3"/>
  <c r="D138" i="3"/>
  <c r="F31" i="3"/>
  <c r="E83" i="3"/>
  <c r="E57" i="3"/>
  <c r="D153" i="3"/>
  <c r="D170" i="3"/>
  <c r="E202" i="3"/>
  <c r="F54" i="3"/>
  <c r="F17" i="3"/>
  <c r="E5" i="3"/>
  <c r="D11" i="3"/>
  <c r="F181" i="3"/>
  <c r="E89" i="3"/>
  <c r="F73" i="3"/>
  <c r="D80" i="3"/>
  <c r="D143" i="3"/>
  <c r="F138" i="3"/>
  <c r="D128" i="3"/>
  <c r="E27" i="3"/>
  <c r="F67" i="3"/>
  <c r="D198" i="3"/>
  <c r="F154" i="3"/>
  <c r="F34" i="3"/>
  <c r="E148" i="3"/>
  <c r="D201" i="3"/>
  <c r="E97" i="3"/>
  <c r="D42" i="3"/>
  <c r="E90" i="3"/>
  <c r="D69" i="3"/>
  <c r="D177" i="3"/>
  <c r="D17" i="3"/>
  <c r="E44" i="3"/>
  <c r="F134" i="3"/>
  <c r="F135" i="3"/>
  <c r="E169" i="3"/>
  <c r="F92" i="3"/>
  <c r="F83" i="3"/>
  <c r="E136" i="3"/>
  <c r="D93" i="3"/>
  <c r="D91" i="3"/>
  <c r="D186" i="3"/>
  <c r="D73" i="3"/>
  <c r="F150" i="3"/>
  <c r="D62" i="3"/>
  <c r="F40" i="3"/>
  <c r="D185" i="3"/>
  <c r="D137" i="3"/>
  <c r="F156" i="3"/>
  <c r="D160" i="3"/>
  <c r="E165" i="3"/>
  <c r="D60" i="3"/>
  <c r="E177" i="3"/>
  <c r="E134" i="3"/>
  <c r="E107" i="3"/>
  <c r="E105" i="3"/>
  <c r="D183" i="3"/>
  <c r="F61" i="3"/>
  <c r="F162" i="3"/>
  <c r="F71" i="3"/>
  <c r="D16" i="3"/>
  <c r="D37" i="3"/>
  <c r="D152" i="3"/>
  <c r="F106" i="3"/>
  <c r="D200" i="3"/>
  <c r="E172" i="3"/>
  <c r="E25" i="3"/>
  <c r="F179" i="3"/>
  <c r="E3" i="3"/>
  <c r="D34" i="3"/>
  <c r="E197" i="3"/>
  <c r="F116" i="3"/>
  <c r="E49" i="3"/>
  <c r="F50" i="3"/>
  <c r="D4" i="3"/>
  <c r="D119" i="3"/>
  <c r="E196" i="3"/>
  <c r="F37" i="3"/>
  <c r="E101" i="3"/>
  <c r="D47" i="3"/>
  <c r="E184" i="3"/>
  <c r="D180" i="3"/>
  <c r="E94" i="3"/>
  <c r="D103" i="3"/>
  <c r="D96" i="3"/>
  <c r="E59" i="3"/>
  <c r="D83" i="3"/>
  <c r="E120" i="3"/>
  <c r="F10" i="3"/>
  <c r="F53" i="3"/>
  <c r="F145" i="3"/>
  <c r="D6" i="3"/>
  <c r="F112" i="3"/>
  <c r="D156" i="3"/>
  <c r="D36" i="3"/>
  <c r="F157" i="3"/>
  <c r="E104" i="3"/>
  <c r="E39" i="3"/>
  <c r="D121" i="3"/>
  <c r="F80" i="3"/>
  <c r="D97" i="3"/>
  <c r="E144" i="3"/>
  <c r="F170" i="3"/>
  <c r="F183" i="3"/>
  <c r="E118" i="3"/>
  <c r="D192" i="3"/>
  <c r="D29" i="3"/>
  <c r="F69" i="3"/>
  <c r="F152" i="3"/>
  <c r="D144" i="3"/>
  <c r="F117" i="3"/>
  <c r="E19" i="3"/>
  <c r="F60" i="3"/>
  <c r="D7" i="3"/>
  <c r="D109" i="3"/>
  <c r="E152" i="3"/>
  <c r="D12" i="3"/>
  <c r="E63" i="3"/>
  <c r="F82" i="3"/>
  <c r="E6" i="3"/>
  <c r="F99" i="3"/>
  <c r="D27" i="3"/>
  <c r="D193" i="3"/>
  <c r="D182" i="3"/>
  <c r="F155" i="3"/>
  <c r="E74" i="3"/>
  <c r="D35" i="3"/>
  <c r="F125" i="3"/>
  <c r="E178" i="3"/>
  <c r="D32" i="3"/>
  <c r="F165" i="3"/>
  <c r="D122" i="3"/>
  <c r="E29" i="3"/>
  <c r="D202" i="3"/>
  <c r="E112" i="3"/>
  <c r="D154" i="3"/>
  <c r="D57" i="3"/>
  <c r="E155" i="3"/>
  <c r="D100" i="3"/>
  <c r="F202" i="3"/>
  <c r="F200" i="3"/>
  <c r="D78" i="3"/>
  <c r="E13" i="3"/>
  <c r="E96" i="3"/>
  <c r="D178" i="3"/>
  <c r="F88" i="3"/>
  <c r="F81" i="3"/>
  <c r="E151" i="3"/>
  <c r="E106" i="3"/>
  <c r="D146" i="3"/>
  <c r="D38" i="3"/>
  <c r="F172" i="3"/>
  <c r="D195" i="3"/>
  <c r="E114" i="3"/>
  <c r="E52" i="3"/>
  <c r="F90" i="3"/>
  <c r="E179" i="3"/>
  <c r="D88" i="3"/>
  <c r="F115" i="3"/>
  <c r="F24" i="3"/>
  <c r="E22" i="3"/>
  <c r="F190" i="3"/>
  <c r="D59" i="3"/>
  <c r="F114" i="3"/>
  <c r="F113" i="3"/>
  <c r="F59" i="3"/>
  <c r="F109" i="3"/>
  <c r="F3" i="3"/>
  <c r="E180" i="3"/>
  <c r="F168" i="3"/>
  <c r="D136" i="3"/>
  <c r="F158" i="3"/>
  <c r="D72" i="3"/>
  <c r="E68" i="3"/>
  <c r="E48" i="3"/>
  <c r="E70" i="3"/>
  <c r="E162" i="3"/>
  <c r="F30" i="3"/>
  <c r="F100" i="3"/>
  <c r="E200" i="3"/>
  <c r="E88" i="3"/>
  <c r="D54" i="3"/>
  <c r="D131" i="3"/>
  <c r="F146" i="3"/>
  <c r="E45" i="3"/>
  <c r="E189" i="3"/>
  <c r="D133" i="3"/>
  <c r="D164" i="3"/>
  <c r="D79" i="3"/>
  <c r="E16" i="3"/>
  <c r="F84" i="3"/>
  <c r="E17" i="3"/>
  <c r="D61" i="3"/>
  <c r="E61" i="3"/>
  <c r="F36" i="3"/>
  <c r="D14" i="3"/>
  <c r="E176" i="3"/>
  <c r="F13" i="3"/>
  <c r="E139" i="3"/>
  <c r="F45" i="3"/>
  <c r="F29" i="3"/>
  <c r="F48" i="3"/>
  <c r="D115" i="3"/>
  <c r="E8" i="3"/>
  <c r="E46" i="3"/>
  <c r="D77" i="3"/>
  <c r="E146" i="3"/>
  <c r="F141" i="3"/>
  <c r="F43" i="3"/>
  <c r="E100" i="3"/>
  <c r="E30" i="3"/>
  <c r="F105" i="3"/>
  <c r="E129" i="3"/>
  <c r="E86" i="3"/>
  <c r="D173" i="3"/>
  <c r="E4" i="3"/>
  <c r="D172" i="3"/>
  <c r="F178" i="3"/>
  <c r="E164" i="3"/>
  <c r="E174" i="3"/>
  <c r="E127" i="3"/>
  <c r="F5" i="3"/>
  <c r="F185" i="3"/>
  <c r="F72" i="3"/>
  <c r="D25" i="3"/>
  <c r="E7" i="3"/>
  <c r="F126" i="3"/>
  <c r="F8" i="3"/>
  <c r="D39" i="3"/>
  <c r="D89" i="3"/>
  <c r="F197" i="3"/>
  <c r="D169" i="3"/>
  <c r="E150" i="3"/>
  <c r="F22" i="3"/>
  <c r="E167" i="3"/>
  <c r="E138" i="3"/>
  <c r="E131" i="3"/>
  <c r="D56" i="3"/>
  <c r="F94" i="3"/>
  <c r="F182" i="3"/>
  <c r="F173" i="3"/>
  <c r="D184" i="3"/>
  <c r="D30" i="3"/>
  <c r="E149" i="3"/>
  <c r="F107" i="3"/>
  <c r="D74" i="3"/>
  <c r="E190" i="3"/>
  <c r="F68" i="3"/>
  <c r="E145" i="3"/>
  <c r="E62" i="3"/>
  <c r="E117" i="3"/>
  <c r="F131" i="3"/>
  <c r="D191" i="3"/>
  <c r="D51" i="3"/>
  <c r="E183" i="3"/>
  <c r="D71" i="3"/>
  <c r="F143" i="3"/>
  <c r="F192" i="3"/>
  <c r="E23" i="3"/>
  <c r="D149" i="3"/>
  <c r="F171" i="3"/>
  <c r="D155" i="3"/>
  <c r="E75" i="3"/>
  <c r="D129" i="3"/>
  <c r="F151" i="3"/>
  <c r="F33" i="3"/>
  <c r="E103" i="3"/>
  <c r="F79" i="3"/>
  <c r="F23" i="3"/>
  <c r="F95" i="3"/>
  <c r="D110" i="3"/>
  <c r="D157" i="3"/>
  <c r="D46" i="3"/>
  <c r="F6" i="3"/>
  <c r="D55" i="3"/>
  <c r="F174" i="3"/>
  <c r="F199" i="3"/>
  <c r="E64" i="3"/>
  <c r="D22" i="3"/>
  <c r="D108" i="3"/>
  <c r="D5" i="3"/>
  <c r="F101" i="3"/>
  <c r="F44" i="3"/>
  <c r="D68" i="3"/>
  <c r="F191" i="3"/>
  <c r="D188" i="3"/>
  <c r="F14" i="3"/>
  <c r="F15" i="3"/>
  <c r="F147" i="3"/>
  <c r="F128" i="3"/>
  <c r="D107" i="3"/>
  <c r="E11" i="3"/>
  <c r="D194" i="3"/>
  <c r="F85" i="3"/>
  <c r="E116" i="3"/>
  <c r="D106" i="3"/>
  <c r="E66" i="3"/>
  <c r="E91" i="3"/>
  <c r="D9" i="3"/>
  <c r="E33" i="3"/>
  <c r="D199" i="3"/>
  <c r="F104" i="3"/>
  <c r="D123" i="3"/>
  <c r="E147" i="3"/>
  <c r="F32" i="3"/>
  <c r="E188" i="3"/>
  <c r="D21" i="3"/>
  <c r="E102" i="3"/>
  <c r="D66" i="3"/>
  <c r="E24" i="3"/>
  <c r="E181" i="3"/>
  <c r="F201" i="3"/>
  <c r="D75" i="3"/>
  <c r="D65" i="3"/>
  <c r="D148" i="3"/>
  <c r="E170" i="3"/>
  <c r="F76" i="3"/>
  <c r="F35" i="3"/>
  <c r="F65" i="3"/>
  <c r="E41" i="3"/>
  <c r="E194" i="3"/>
  <c r="F21" i="3"/>
  <c r="D49" i="3"/>
  <c r="F119" i="3"/>
  <c r="D105" i="3"/>
  <c r="E168" i="3"/>
  <c r="D53" i="3"/>
  <c r="D167" i="3"/>
  <c r="F98" i="3"/>
  <c r="E56" i="3"/>
  <c r="D82" i="3"/>
  <c r="F196" i="3"/>
  <c r="E87" i="3"/>
  <c r="E186" i="3"/>
  <c r="D190" i="3"/>
  <c r="E51" i="3"/>
  <c r="E40" i="3"/>
  <c r="E99" i="3"/>
  <c r="F86" i="3"/>
  <c r="D124" i="3"/>
  <c r="E53" i="3"/>
  <c r="F57" i="3"/>
  <c r="D44" i="3"/>
  <c r="F19" i="3"/>
  <c r="F187" i="3"/>
  <c r="F142" i="3"/>
  <c r="D98" i="3"/>
  <c r="F108" i="3"/>
  <c r="E65" i="3"/>
  <c r="D84" i="3"/>
  <c r="D64" i="3"/>
  <c r="D117" i="3"/>
  <c r="F96" i="3"/>
  <c r="E31" i="3"/>
  <c r="F136" i="3"/>
  <c r="D31" i="3"/>
  <c r="F148" i="3"/>
  <c r="E92" i="3"/>
  <c r="F160" i="3"/>
  <c r="E55" i="3"/>
  <c r="D41" i="3"/>
  <c r="E175" i="3"/>
  <c r="F184" i="3"/>
  <c r="E141" i="3"/>
  <c r="E81" i="3"/>
  <c r="E37" i="3"/>
  <c r="E35" i="3"/>
  <c r="E72" i="3"/>
  <c r="E159" i="3"/>
  <c r="D141" i="3"/>
  <c r="D33" i="3"/>
  <c r="E36" i="3"/>
  <c r="E71" i="3"/>
  <c r="D26" i="3"/>
  <c r="F77" i="3"/>
  <c r="E50" i="3"/>
  <c r="F26" i="3"/>
  <c r="D45" i="3"/>
  <c r="F195" i="3"/>
  <c r="E54" i="3"/>
  <c r="F121" i="3"/>
  <c r="D127" i="3"/>
  <c r="F51" i="3"/>
  <c r="D197" i="3"/>
  <c r="D168" i="3"/>
  <c r="F193" i="3"/>
  <c r="E21" i="3"/>
  <c r="D10" i="3"/>
  <c r="E47" i="3"/>
  <c r="F55" i="3"/>
  <c r="D163" i="3"/>
  <c r="E79" i="3"/>
  <c r="D150" i="3"/>
  <c r="D113" i="3"/>
  <c r="F123" i="3"/>
  <c r="E191" i="3"/>
  <c r="D181" i="3"/>
  <c r="D189" i="3"/>
  <c r="E166" i="3"/>
  <c r="D15" i="3"/>
  <c r="D140" i="3"/>
  <c r="E192" i="3"/>
  <c r="E115" i="3"/>
  <c r="D139" i="3"/>
  <c r="D85" i="3"/>
  <c r="D76" i="3"/>
  <c r="E133" i="3"/>
  <c r="F133" i="3"/>
  <c r="D120" i="3"/>
  <c r="E140" i="3"/>
  <c r="D48" i="3"/>
  <c r="F149" i="3"/>
  <c r="E26" i="3"/>
  <c r="E157" i="3"/>
  <c r="F161" i="3"/>
  <c r="D52" i="3"/>
  <c r="F103" i="3"/>
  <c r="D90" i="3"/>
  <c r="D130" i="3"/>
  <c r="D86" i="3"/>
  <c r="E58" i="3"/>
  <c r="E20" i="3"/>
  <c r="D70" i="3"/>
  <c r="D3" i="3"/>
  <c r="E67" i="3"/>
  <c r="E9" i="3"/>
  <c r="E14" i="3"/>
  <c r="F18" i="3"/>
  <c r="D101" i="3"/>
  <c r="E82" i="3"/>
  <c r="F139" i="3"/>
  <c r="E85" i="3"/>
  <c r="F42" i="3"/>
  <c r="E143" i="3"/>
  <c r="F176" i="3"/>
  <c r="F167" i="3"/>
  <c r="F25" i="3"/>
  <c r="F175" i="3"/>
  <c r="D87" i="3"/>
  <c r="D19" i="3"/>
  <c r="F16" i="3"/>
  <c r="E171" i="3"/>
  <c r="F38" i="3"/>
  <c r="E15" i="3"/>
  <c r="F47" i="3"/>
  <c r="E125" i="3"/>
  <c r="E193" i="3"/>
  <c r="D102" i="3"/>
  <c r="F169" i="3"/>
  <c r="E77" i="3"/>
  <c r="F144" i="3"/>
  <c r="F56" i="3"/>
  <c r="D171" i="3"/>
  <c r="D63" i="3"/>
  <c r="D50" i="3"/>
  <c r="D116" i="3"/>
  <c r="E121" i="3"/>
  <c r="E12" i="3"/>
  <c r="F64" i="3"/>
  <c r="D99" i="3"/>
  <c r="F153" i="3"/>
  <c r="F124" i="3"/>
  <c r="D114" i="3"/>
  <c r="F180" i="3"/>
  <c r="D166" i="3"/>
  <c r="E10" i="3"/>
  <c r="D158" i="3"/>
  <c r="D145" i="3"/>
  <c r="E84" i="3"/>
  <c r="E182" i="3"/>
  <c r="F41" i="3"/>
  <c r="F93" i="3"/>
  <c r="F97" i="3"/>
  <c r="F4" i="3"/>
  <c r="F164" i="3"/>
  <c r="F140" i="3"/>
  <c r="F27" i="3"/>
  <c r="E199" i="3"/>
  <c r="F28" i="3"/>
  <c r="D161" i="3"/>
  <c r="D176" i="3"/>
  <c r="D118" i="3"/>
  <c r="F74" i="3"/>
  <c r="F20" i="3"/>
  <c r="E163" i="3"/>
  <c r="F58" i="3"/>
  <c r="F78" i="3"/>
  <c r="D81" i="3"/>
  <c r="F89" i="3"/>
  <c r="E78" i="3"/>
  <c r="F102" i="3"/>
  <c r="E122" i="3"/>
  <c r="F159" i="3"/>
  <c r="D18" i="3"/>
  <c r="D111" i="3"/>
  <c r="E198" i="3"/>
  <c r="D13" i="3"/>
  <c r="D187" i="3"/>
  <c r="E76" i="3"/>
  <c r="D125" i="3"/>
  <c r="E93" i="3"/>
  <c r="E160" i="3"/>
  <c r="E69" i="3"/>
  <c r="E60" i="3"/>
  <c r="F127" i="3"/>
  <c r="F66" i="3"/>
  <c r="D132" i="3"/>
  <c r="F39" i="3"/>
  <c r="F137" i="3"/>
  <c r="D112" i="3"/>
  <c r="F163" i="3"/>
  <c r="F166" i="3"/>
  <c r="E201" i="3"/>
  <c r="F130" i="3"/>
  <c r="D196" i="3"/>
  <c r="E124" i="3"/>
  <c r="D174" i="3"/>
  <c r="E18" i="3"/>
  <c r="E132" i="3"/>
  <c r="F198" i="3"/>
  <c r="E73" i="3"/>
  <c r="E109" i="3"/>
  <c r="E113" i="3"/>
  <c r="F7" i="3"/>
  <c r="E119" i="3"/>
  <c r="F188" i="3"/>
  <c r="D28" i="3"/>
  <c r="F194" i="3"/>
  <c r="D40" i="3"/>
  <c r="E108" i="3"/>
  <c r="E187" i="3"/>
  <c r="E34" i="3"/>
  <c r="D23" i="3"/>
  <c r="F49" i="3"/>
  <c r="F87" i="3"/>
  <c r="D92" i="3"/>
  <c r="D159" i="3"/>
  <c r="F52" i="3"/>
  <c r="F46" i="3"/>
  <c r="E195" i="3"/>
  <c r="F186" i="3"/>
  <c r="F110" i="3"/>
  <c r="F177" i="3"/>
  <c r="E153" i="3"/>
  <c r="E110" i="3"/>
  <c r="E135" i="3"/>
  <c r="D43" i="3"/>
  <c r="E154" i="3"/>
  <c r="D67" i="3"/>
  <c r="F9" i="3"/>
  <c r="E80" i="3"/>
  <c r="E173" i="3"/>
  <c r="D8" i="3"/>
  <c r="F189" i="3"/>
  <c r="D95" i="3"/>
  <c r="E142" i="3"/>
  <c r="E32" i="3"/>
  <c r="E38" i="3"/>
  <c r="D126" i="3"/>
  <c r="D20" i="3"/>
  <c r="F91" i="3"/>
  <c r="E126" i="3"/>
  <c r="E98" i="3"/>
  <c r="E158" i="3"/>
  <c r="D151" i="3"/>
  <c r="F12" i="3"/>
  <c r="F75" i="3"/>
  <c r="D147" i="3"/>
  <c r="E185" i="3"/>
  <c r="E128" i="3"/>
  <c r="E42" i="3"/>
  <c r="D135" i="3"/>
  <c r="E95" i="3"/>
  <c r="F11" i="3"/>
  <c r="F63" i="3"/>
  <c r="D24" i="3"/>
  <c r="E156" i="3"/>
  <c r="F62" i="3"/>
  <c r="D165" i="3"/>
  <c r="D58" i="3"/>
  <c r="E130" i="3"/>
  <c r="D179" i="3"/>
  <c r="E137" i="3"/>
  <c r="F129" i="3"/>
  <c r="E161" i="3"/>
  <c r="D104" i="3"/>
  <c r="E28" i="3"/>
  <c r="F111" i="3"/>
  <c r="E123" i="3"/>
  <c r="D175" i="3"/>
  <c r="F120" i="3"/>
  <c r="G3" i="3"/>
  <c r="D142" i="3"/>
  <c r="F70" i="3"/>
  <c r="E43" i="3"/>
  <c r="D162" i="3"/>
  <c r="D134" i="3"/>
  <c r="E111" i="3"/>
  <c r="F118" i="3"/>
  <c r="F132" i="3"/>
  <c r="J117" i="3" l="1"/>
  <c r="J155" i="3"/>
  <c r="J183" i="3"/>
  <c r="J152" i="3"/>
  <c r="J165" i="3"/>
  <c r="J99" i="3"/>
  <c r="J81" i="3"/>
  <c r="J88" i="3"/>
  <c r="J82" i="3"/>
  <c r="J200" i="3"/>
  <c r="J90" i="3"/>
  <c r="J172" i="3"/>
  <c r="J202" i="3"/>
  <c r="J170" i="3"/>
  <c r="J190" i="3"/>
  <c r="J69" i="3"/>
  <c r="J60" i="3"/>
  <c r="J7" i="3"/>
  <c r="J94" i="3"/>
  <c r="J136" i="3"/>
  <c r="J38" i="3"/>
  <c r="J91" i="3"/>
  <c r="J17" i="3"/>
  <c r="J26" i="3"/>
  <c r="J186" i="3"/>
  <c r="J174" i="3"/>
  <c r="J67" i="3"/>
  <c r="J50" i="3"/>
  <c r="J12" i="3"/>
  <c r="J3" i="3"/>
  <c r="J128" i="3"/>
  <c r="J129" i="3"/>
  <c r="J103" i="3"/>
  <c r="J73" i="3"/>
  <c r="J93" i="3"/>
  <c r="J18" i="3"/>
  <c r="J115" i="3"/>
  <c r="J138" i="3"/>
  <c r="J22" i="3"/>
  <c r="J130" i="3"/>
  <c r="J41" i="3"/>
  <c r="J23" i="3"/>
  <c r="J192" i="3"/>
  <c r="J19" i="3"/>
  <c r="J139" i="3"/>
  <c r="J147" i="3"/>
  <c r="J59" i="3"/>
  <c r="J32" i="3"/>
  <c r="J162" i="3"/>
  <c r="J92" i="3"/>
  <c r="J16" i="3"/>
  <c r="J198" i="3"/>
  <c r="J44" i="3"/>
  <c r="J171" i="3"/>
  <c r="J158" i="3"/>
  <c r="J10" i="3"/>
  <c r="J135" i="3"/>
  <c r="J193" i="3"/>
  <c r="J182" i="3"/>
  <c r="J149" i="3"/>
  <c r="J79" i="3"/>
  <c r="J64" i="3"/>
  <c r="J146" i="3"/>
  <c r="J98" i="3"/>
  <c r="J101" i="3"/>
  <c r="J71" i="3"/>
  <c r="J84" i="3"/>
  <c r="J43" i="3"/>
  <c r="J6" i="3"/>
  <c r="J119" i="3"/>
  <c r="J100" i="3"/>
  <c r="J196" i="3"/>
  <c r="J13" i="3"/>
  <c r="J25" i="3"/>
  <c r="J58" i="3"/>
  <c r="J11" i="3"/>
  <c r="J189" i="3"/>
  <c r="J40" i="3"/>
  <c r="J78" i="3"/>
  <c r="J156" i="3"/>
  <c r="J74" i="3"/>
  <c r="J51" i="3"/>
  <c r="J178" i="3"/>
  <c r="J177" i="3"/>
  <c r="J21" i="3"/>
  <c r="J83" i="3"/>
  <c r="J66" i="3"/>
  <c r="J175" i="3"/>
  <c r="J137" i="3"/>
  <c r="J107" i="3"/>
  <c r="J24" i="3"/>
  <c r="J145" i="3"/>
  <c r="J56" i="3"/>
  <c r="J54" i="3"/>
  <c r="J102" i="3"/>
  <c r="J76" i="3"/>
  <c r="J45" i="3"/>
  <c r="J142" i="3"/>
  <c r="J148" i="3"/>
  <c r="J167" i="3"/>
  <c r="J195" i="3"/>
  <c r="J141" i="3"/>
  <c r="J68" i="3"/>
  <c r="J5" i="3"/>
  <c r="J20" i="3"/>
  <c r="J140" i="3"/>
  <c r="J173" i="3"/>
  <c r="J120" i="3"/>
  <c r="J157" i="3"/>
  <c r="J106" i="3"/>
  <c r="J80" i="3"/>
  <c r="J154" i="3"/>
  <c r="J132" i="3"/>
  <c r="J133" i="3"/>
  <c r="J34" i="3"/>
  <c r="J89" i="3"/>
  <c r="J143" i="3"/>
  <c r="J57" i="3"/>
  <c r="J75" i="3"/>
  <c r="J181" i="3"/>
  <c r="J187" i="3"/>
  <c r="J126" i="3"/>
  <c r="J199" i="3"/>
  <c r="J108" i="3"/>
  <c r="J36" i="3"/>
  <c r="J113" i="3"/>
  <c r="J114" i="3"/>
  <c r="J29" i="3"/>
  <c r="J163" i="3"/>
  <c r="J124" i="3"/>
  <c r="J33" i="3"/>
  <c r="J14" i="3"/>
  <c r="J65" i="3"/>
  <c r="J150" i="3"/>
  <c r="J179" i="3"/>
  <c r="J169" i="3"/>
  <c r="J112" i="3"/>
  <c r="J125" i="3"/>
  <c r="J30" i="3"/>
  <c r="J27" i="3"/>
  <c r="J39" i="3"/>
  <c r="J61" i="3"/>
  <c r="J52" i="3"/>
  <c r="J4" i="3"/>
  <c r="J63" i="3"/>
  <c r="J87" i="3"/>
  <c r="J37" i="3"/>
  <c r="J48" i="3"/>
  <c r="J53" i="3"/>
  <c r="J72" i="3"/>
  <c r="J35" i="3"/>
  <c r="J47" i="3"/>
  <c r="J180" i="3"/>
  <c r="J201" i="3"/>
  <c r="J176" i="3"/>
  <c r="J8" i="3"/>
  <c r="J116" i="3"/>
  <c r="J104" i="3"/>
  <c r="J184" i="3"/>
  <c r="J161" i="3"/>
  <c r="J96" i="3"/>
  <c r="J95" i="3"/>
  <c r="J28" i="3"/>
  <c r="J121" i="3"/>
  <c r="J131" i="3"/>
  <c r="J15" i="3"/>
  <c r="J197" i="3"/>
  <c r="J105" i="3"/>
  <c r="J164" i="3"/>
  <c r="J31" i="3"/>
  <c r="J118" i="3"/>
  <c r="J122" i="3"/>
  <c r="J168" i="3"/>
  <c r="J86" i="3"/>
  <c r="J111" i="3"/>
  <c r="J49" i="3"/>
  <c r="J70" i="3"/>
  <c r="J62" i="3"/>
  <c r="J188" i="3"/>
  <c r="J123" i="3"/>
  <c r="J194" i="3"/>
  <c r="J85" i="3"/>
  <c r="J109" i="3"/>
  <c r="J77" i="3"/>
  <c r="J55" i="3"/>
  <c r="J46" i="3"/>
  <c r="J134" i="3"/>
  <c r="J42" i="3"/>
  <c r="J144" i="3"/>
  <c r="J159" i="3"/>
  <c r="J153" i="3"/>
  <c r="J9" i="3"/>
  <c r="J97" i="3"/>
  <c r="J185" i="3"/>
  <c r="J151" i="3"/>
  <c r="J110" i="3"/>
  <c r="J166" i="3"/>
  <c r="J191" i="3"/>
  <c r="J160" i="3"/>
  <c r="J127" i="3"/>
  <c r="A2" i="6"/>
  <c r="A14" i="6"/>
  <c r="A6" i="6"/>
  <c r="A18" i="6"/>
  <c r="A17" i="6"/>
  <c r="A21" i="6"/>
  <c r="A3" i="6"/>
  <c r="A15" i="6"/>
  <c r="A7" i="6"/>
  <c r="A19" i="6"/>
  <c r="A20" i="6"/>
  <c r="A4" i="6"/>
  <c r="A16" i="6"/>
  <c r="A8" i="6"/>
  <c r="A9" i="6"/>
  <c r="A5" i="6"/>
  <c r="A10" i="6"/>
  <c r="A22" i="6"/>
  <c r="A11" i="6"/>
  <c r="A23" i="6"/>
  <c r="A12" i="6"/>
  <c r="A13" i="6"/>
  <c r="K137" i="3" l="1"/>
  <c r="O137" i="3" s="1"/>
  <c r="K93" i="3"/>
  <c r="O93" i="3" s="1"/>
  <c r="K61" i="3"/>
  <c r="O61" i="3" s="1"/>
  <c r="K70" i="3"/>
  <c r="O70" i="3" s="1"/>
  <c r="K94" i="3"/>
  <c r="O94" i="3" s="1"/>
  <c r="K73" i="3"/>
  <c r="O73" i="3" s="1"/>
  <c r="K18" i="3"/>
  <c r="O18" i="3" s="1"/>
  <c r="K115" i="3"/>
  <c r="O115" i="3" s="1"/>
  <c r="K138" i="3"/>
  <c r="O138" i="3" s="1"/>
  <c r="K22" i="3"/>
  <c r="O22" i="3" s="1"/>
  <c r="K130" i="3"/>
  <c r="O130" i="3" s="1"/>
  <c r="K41" i="3"/>
  <c r="O41" i="3" s="1"/>
  <c r="K23" i="3"/>
  <c r="O23" i="3" s="1"/>
  <c r="K192" i="3"/>
  <c r="O192" i="3" s="1"/>
  <c r="K19" i="3"/>
  <c r="O19" i="3" s="1"/>
  <c r="K139" i="3"/>
  <c r="O139" i="3" s="1"/>
  <c r="K147" i="3"/>
  <c r="O147" i="3" s="1"/>
  <c r="K59" i="3"/>
  <c r="O59" i="3" s="1"/>
  <c r="K32" i="3"/>
  <c r="O32" i="3" s="1"/>
  <c r="K162" i="3"/>
  <c r="O162" i="3" s="1"/>
  <c r="K92" i="3"/>
  <c r="O92" i="3" s="1"/>
  <c r="K16" i="3"/>
  <c r="O16" i="3" s="1"/>
  <c r="K198" i="3"/>
  <c r="O198" i="3" s="1"/>
  <c r="K44" i="3"/>
  <c r="O44" i="3" s="1"/>
  <c r="K171" i="3"/>
  <c r="O171" i="3" s="1"/>
  <c r="K158" i="3"/>
  <c r="O158" i="3" s="1"/>
  <c r="K10" i="3"/>
  <c r="O10" i="3" s="1"/>
  <c r="K135" i="3"/>
  <c r="O135" i="3" s="1"/>
  <c r="K193" i="3"/>
  <c r="O193" i="3" s="1"/>
  <c r="K182" i="3"/>
  <c r="O182" i="3" s="1"/>
  <c r="K149" i="3"/>
  <c r="O149" i="3" s="1"/>
  <c r="K79" i="3"/>
  <c r="O79" i="3" s="1"/>
  <c r="K64" i="3"/>
  <c r="O64" i="3" s="1"/>
  <c r="K146" i="3"/>
  <c r="O146" i="3" s="1"/>
  <c r="K98" i="3"/>
  <c r="O98" i="3" s="1"/>
  <c r="K101" i="3"/>
  <c r="O101" i="3" s="1"/>
  <c r="K71" i="3"/>
  <c r="O71" i="3" s="1"/>
  <c r="K84" i="3"/>
  <c r="O84" i="3" s="1"/>
  <c r="K43" i="3"/>
  <c r="O43" i="3" s="1"/>
  <c r="K6" i="3"/>
  <c r="O6" i="3" s="1"/>
  <c r="K119" i="3"/>
  <c r="O119" i="3" s="1"/>
  <c r="K54" i="3"/>
  <c r="O54" i="3" s="1"/>
  <c r="K76" i="3"/>
  <c r="O76" i="3" s="1"/>
  <c r="K142" i="3"/>
  <c r="O142" i="3" s="1"/>
  <c r="K148" i="3"/>
  <c r="O148" i="3" s="1"/>
  <c r="K195" i="3"/>
  <c r="O195" i="3" s="1"/>
  <c r="K141" i="3"/>
  <c r="O141" i="3" s="1"/>
  <c r="K5" i="3"/>
  <c r="O5" i="3" s="1"/>
  <c r="K140" i="3"/>
  <c r="O140" i="3" s="1"/>
  <c r="K144" i="3"/>
  <c r="O144" i="3" s="1"/>
  <c r="K97" i="3"/>
  <c r="O97" i="3" s="1"/>
  <c r="K17" i="3"/>
  <c r="O17" i="3" s="1"/>
  <c r="K67" i="3"/>
  <c r="O67" i="3" s="1"/>
  <c r="K3" i="3"/>
  <c r="O3" i="3" s="1"/>
  <c r="K100" i="3"/>
  <c r="O100" i="3" s="1"/>
  <c r="K196" i="3"/>
  <c r="O196" i="3" s="1"/>
  <c r="K13" i="3"/>
  <c r="O13" i="3" s="1"/>
  <c r="K25" i="3"/>
  <c r="O25" i="3" s="1"/>
  <c r="K58" i="3"/>
  <c r="O58" i="3" s="1"/>
  <c r="K11" i="3"/>
  <c r="O11" i="3" s="1"/>
  <c r="K189" i="3"/>
  <c r="O189" i="3" s="1"/>
  <c r="K40" i="3"/>
  <c r="O40" i="3" s="1"/>
  <c r="K78" i="3"/>
  <c r="O78" i="3" s="1"/>
  <c r="K156" i="3"/>
  <c r="O156" i="3" s="1"/>
  <c r="K74" i="3"/>
  <c r="O74" i="3" s="1"/>
  <c r="K51" i="3"/>
  <c r="O51" i="3" s="1"/>
  <c r="K178" i="3"/>
  <c r="O178" i="3" s="1"/>
  <c r="K177" i="3"/>
  <c r="O177" i="3" s="1"/>
  <c r="K21" i="3"/>
  <c r="O21" i="3" s="1"/>
  <c r="K83" i="3"/>
  <c r="O83" i="3" s="1"/>
  <c r="K66" i="3"/>
  <c r="O66" i="3" s="1"/>
  <c r="K175" i="3"/>
  <c r="O175" i="3" s="1"/>
  <c r="K107" i="3"/>
  <c r="O107" i="3" s="1"/>
  <c r="K24" i="3"/>
  <c r="O24" i="3" s="1"/>
  <c r="K145" i="3"/>
  <c r="O145" i="3" s="1"/>
  <c r="K56" i="3"/>
  <c r="O56" i="3" s="1"/>
  <c r="K102" i="3"/>
  <c r="O102" i="3" s="1"/>
  <c r="K45" i="3"/>
  <c r="O45" i="3" s="1"/>
  <c r="K167" i="3"/>
  <c r="O167" i="3" s="1"/>
  <c r="K68" i="3"/>
  <c r="O68" i="3" s="1"/>
  <c r="K20" i="3"/>
  <c r="O20" i="3" s="1"/>
  <c r="K159" i="3"/>
  <c r="O159" i="3" s="1"/>
  <c r="K26" i="3"/>
  <c r="O26" i="3" s="1"/>
  <c r="K128" i="3"/>
  <c r="O128" i="3" s="1"/>
  <c r="K173" i="3"/>
  <c r="O173" i="3" s="1"/>
  <c r="K120" i="3"/>
  <c r="O120" i="3" s="1"/>
  <c r="K157" i="3"/>
  <c r="O157" i="3" s="1"/>
  <c r="K106" i="3"/>
  <c r="O106" i="3" s="1"/>
  <c r="K80" i="3"/>
  <c r="O80" i="3" s="1"/>
  <c r="K154" i="3"/>
  <c r="O154" i="3" s="1"/>
  <c r="K132" i="3"/>
  <c r="O132" i="3" s="1"/>
  <c r="K133" i="3"/>
  <c r="O133" i="3" s="1"/>
  <c r="K34" i="3"/>
  <c r="O34" i="3" s="1"/>
  <c r="K89" i="3"/>
  <c r="O89" i="3" s="1"/>
  <c r="K143" i="3"/>
  <c r="O143" i="3" s="1"/>
  <c r="K57" i="3"/>
  <c r="O57" i="3" s="1"/>
  <c r="K75" i="3"/>
  <c r="O75" i="3" s="1"/>
  <c r="K181" i="3"/>
  <c r="O181" i="3" s="1"/>
  <c r="K187" i="3"/>
  <c r="O187" i="3" s="1"/>
  <c r="K126" i="3"/>
  <c r="O126" i="3" s="1"/>
  <c r="K199" i="3"/>
  <c r="O199" i="3" s="1"/>
  <c r="K27" i="3"/>
  <c r="O27" i="3" s="1"/>
  <c r="K52" i="3"/>
  <c r="O52" i="3" s="1"/>
  <c r="K63" i="3"/>
  <c r="O63" i="3" s="1"/>
  <c r="K87" i="3"/>
  <c r="O87" i="3" s="1"/>
  <c r="K48" i="3"/>
  <c r="O48" i="3" s="1"/>
  <c r="K72" i="3"/>
  <c r="O72" i="3" s="1"/>
  <c r="K35" i="3"/>
  <c r="O35" i="3" s="1"/>
  <c r="K180" i="3"/>
  <c r="O180" i="3" s="1"/>
  <c r="K176" i="3"/>
  <c r="O176" i="3" s="1"/>
  <c r="K116" i="3"/>
  <c r="O116" i="3" s="1"/>
  <c r="K42" i="3"/>
  <c r="O42" i="3" s="1"/>
  <c r="K38" i="3"/>
  <c r="O38" i="3" s="1"/>
  <c r="K174" i="3"/>
  <c r="O174" i="3" s="1"/>
  <c r="K129" i="3"/>
  <c r="O129" i="3" s="1"/>
  <c r="K108" i="3"/>
  <c r="O108" i="3" s="1"/>
  <c r="K36" i="3"/>
  <c r="O36" i="3" s="1"/>
  <c r="K113" i="3"/>
  <c r="O113" i="3" s="1"/>
  <c r="K114" i="3"/>
  <c r="O114" i="3" s="1"/>
  <c r="K29" i="3"/>
  <c r="O29" i="3" s="1"/>
  <c r="K163" i="3"/>
  <c r="O163" i="3" s="1"/>
  <c r="K124" i="3"/>
  <c r="O124" i="3" s="1"/>
  <c r="K33" i="3"/>
  <c r="O33" i="3" s="1"/>
  <c r="K14" i="3"/>
  <c r="O14" i="3" s="1"/>
  <c r="K65" i="3"/>
  <c r="O65" i="3" s="1"/>
  <c r="K150" i="3"/>
  <c r="O150" i="3" s="1"/>
  <c r="K179" i="3"/>
  <c r="O179" i="3" s="1"/>
  <c r="K169" i="3"/>
  <c r="O169" i="3" s="1"/>
  <c r="K112" i="3"/>
  <c r="O112" i="3" s="1"/>
  <c r="K125" i="3"/>
  <c r="O125" i="3" s="1"/>
  <c r="K30" i="3"/>
  <c r="O30" i="3" s="1"/>
  <c r="K39" i="3"/>
  <c r="O39" i="3" s="1"/>
  <c r="K4" i="3"/>
  <c r="O4" i="3" s="1"/>
  <c r="K37" i="3"/>
  <c r="O37" i="3" s="1"/>
  <c r="K53" i="3"/>
  <c r="O53" i="3" s="1"/>
  <c r="K47" i="3"/>
  <c r="O47" i="3" s="1"/>
  <c r="K201" i="3"/>
  <c r="O201" i="3" s="1"/>
  <c r="K8" i="3"/>
  <c r="O8" i="3" s="1"/>
  <c r="K104" i="3"/>
  <c r="O104" i="3" s="1"/>
  <c r="K153" i="3"/>
  <c r="O153" i="3" s="1"/>
  <c r="K186" i="3"/>
  <c r="O186" i="3" s="1"/>
  <c r="K103" i="3"/>
  <c r="O103" i="3" s="1"/>
  <c r="K184" i="3"/>
  <c r="O184" i="3" s="1"/>
  <c r="K161" i="3"/>
  <c r="O161" i="3" s="1"/>
  <c r="K96" i="3"/>
  <c r="O96" i="3" s="1"/>
  <c r="K95" i="3"/>
  <c r="O95" i="3" s="1"/>
  <c r="K28" i="3"/>
  <c r="O28" i="3" s="1"/>
  <c r="K121" i="3"/>
  <c r="O121" i="3" s="1"/>
  <c r="K131" i="3"/>
  <c r="O131" i="3" s="1"/>
  <c r="K15" i="3"/>
  <c r="O15" i="3" s="1"/>
  <c r="K197" i="3"/>
  <c r="O197" i="3" s="1"/>
  <c r="K105" i="3"/>
  <c r="O105" i="3" s="1"/>
  <c r="K164" i="3"/>
  <c r="O164" i="3" s="1"/>
  <c r="K31" i="3"/>
  <c r="O31" i="3" s="1"/>
  <c r="K118" i="3"/>
  <c r="O118" i="3" s="1"/>
  <c r="K122" i="3"/>
  <c r="O122" i="3" s="1"/>
  <c r="K168" i="3"/>
  <c r="O168" i="3" s="1"/>
  <c r="K86" i="3"/>
  <c r="O86" i="3" s="1"/>
  <c r="K111" i="3"/>
  <c r="O111" i="3" s="1"/>
  <c r="K49" i="3"/>
  <c r="O49" i="3" s="1"/>
  <c r="K62" i="3"/>
  <c r="O62" i="3" s="1"/>
  <c r="K188" i="3"/>
  <c r="O188" i="3" s="1"/>
  <c r="K123" i="3"/>
  <c r="O123" i="3" s="1"/>
  <c r="K194" i="3"/>
  <c r="O194" i="3" s="1"/>
  <c r="K85" i="3"/>
  <c r="O85" i="3" s="1"/>
  <c r="K109" i="3"/>
  <c r="O109" i="3" s="1"/>
  <c r="K77" i="3"/>
  <c r="O77" i="3" s="1"/>
  <c r="K55" i="3"/>
  <c r="O55" i="3" s="1"/>
  <c r="K46" i="3"/>
  <c r="O46" i="3" s="1"/>
  <c r="K134" i="3"/>
  <c r="O134" i="3" s="1"/>
  <c r="K9" i="3"/>
  <c r="O9" i="3" s="1"/>
  <c r="K12" i="3"/>
  <c r="O12" i="3" s="1"/>
  <c r="K185" i="3"/>
  <c r="O185" i="3" s="1"/>
  <c r="K151" i="3"/>
  <c r="O151" i="3" s="1"/>
  <c r="K110" i="3"/>
  <c r="O110" i="3" s="1"/>
  <c r="K166" i="3"/>
  <c r="O166" i="3" s="1"/>
  <c r="K191" i="3"/>
  <c r="O191" i="3" s="1"/>
  <c r="K160" i="3"/>
  <c r="O160" i="3" s="1"/>
  <c r="K127" i="3"/>
  <c r="O127" i="3" s="1"/>
  <c r="K117" i="3"/>
  <c r="O117" i="3" s="1"/>
  <c r="K155" i="3"/>
  <c r="O155" i="3" s="1"/>
  <c r="K183" i="3"/>
  <c r="O183" i="3" s="1"/>
  <c r="K152" i="3"/>
  <c r="O152" i="3" s="1"/>
  <c r="K165" i="3"/>
  <c r="O165" i="3" s="1"/>
  <c r="K99" i="3"/>
  <c r="O99" i="3" s="1"/>
  <c r="K81" i="3"/>
  <c r="O81" i="3" s="1"/>
  <c r="K88" i="3"/>
  <c r="O88" i="3" s="1"/>
  <c r="K82" i="3"/>
  <c r="O82" i="3" s="1"/>
  <c r="K200" i="3"/>
  <c r="O200" i="3" s="1"/>
  <c r="K90" i="3"/>
  <c r="O90" i="3" s="1"/>
  <c r="K172" i="3"/>
  <c r="O172" i="3" s="1"/>
  <c r="K202" i="3"/>
  <c r="O202" i="3" s="1"/>
  <c r="K170" i="3"/>
  <c r="O170" i="3" s="1"/>
  <c r="K190" i="3"/>
  <c r="O190" i="3" s="1"/>
  <c r="K69" i="3"/>
  <c r="O69" i="3" s="1"/>
  <c r="K60" i="3"/>
  <c r="O60" i="3" s="1"/>
  <c r="K7" i="3"/>
  <c r="O7" i="3" s="1"/>
  <c r="K136" i="3"/>
  <c r="O136" i="3" s="1"/>
  <c r="K91" i="3"/>
  <c r="O91" i="3" s="1"/>
  <c r="K50" i="3"/>
  <c r="O50" i="3" s="1"/>
  <c r="Z183" i="3"/>
  <c r="AA183" i="3" s="1"/>
  <c r="Z165" i="3"/>
  <c r="AA165" i="3" s="1"/>
  <c r="Z172" i="3"/>
  <c r="AA172" i="3" s="1"/>
  <c r="Z170" i="3"/>
  <c r="AA170" i="3" s="1"/>
  <c r="Z190" i="3"/>
  <c r="AA190" i="3" s="1"/>
  <c r="Z69" i="3"/>
  <c r="AA69" i="3" s="1"/>
  <c r="Z60" i="3"/>
  <c r="AA60" i="3" s="1"/>
  <c r="Z94" i="3"/>
  <c r="AA94" i="3" s="1"/>
  <c r="Z38" i="3"/>
  <c r="AA38" i="3" s="1"/>
  <c r="Z26" i="3"/>
  <c r="AA26" i="3" s="1"/>
  <c r="Z50" i="3"/>
  <c r="AA50" i="3" s="1"/>
  <c r="Z128" i="3"/>
  <c r="AA128" i="3" s="1"/>
  <c r="Z103" i="3"/>
  <c r="AA103" i="3" s="1"/>
  <c r="Z138" i="3"/>
  <c r="AA138" i="3" s="1"/>
  <c r="Z23" i="3"/>
  <c r="AA23" i="3" s="1"/>
  <c r="Z139" i="3"/>
  <c r="AA139" i="3" s="1"/>
  <c r="Z59" i="3"/>
  <c r="AA59" i="3" s="1"/>
  <c r="Z32" i="3"/>
  <c r="AA32" i="3" s="1"/>
  <c r="Z162" i="3"/>
  <c r="AA162" i="3" s="1"/>
  <c r="Z92" i="3"/>
  <c r="AA92" i="3" s="1"/>
  <c r="Z171" i="3"/>
  <c r="AA171" i="3" s="1"/>
  <c r="Z158" i="3"/>
  <c r="AA158" i="3" s="1"/>
  <c r="Z10" i="3"/>
  <c r="Z182" i="3"/>
  <c r="AA182" i="3" s="1"/>
  <c r="Z79" i="3"/>
  <c r="AA79" i="3" s="1"/>
  <c r="Z64" i="3"/>
  <c r="AA64" i="3" s="1"/>
  <c r="Z98" i="3"/>
  <c r="AA98" i="3" s="1"/>
  <c r="Z71" i="3"/>
  <c r="AA71" i="3" s="1"/>
  <c r="Z84" i="3"/>
  <c r="AA84" i="3" s="1"/>
  <c r="Z43" i="3"/>
  <c r="AA43" i="3" s="1"/>
  <c r="Z119" i="3"/>
  <c r="AA119" i="3" s="1"/>
  <c r="Z196" i="3"/>
  <c r="AA196" i="3" s="1"/>
  <c r="Z13" i="3"/>
  <c r="AA13" i="3" s="1"/>
  <c r="Z25" i="3"/>
  <c r="AA25" i="3" s="1"/>
  <c r="Z11" i="3"/>
  <c r="AA11" i="3" s="1"/>
  <c r="Z178" i="3"/>
  <c r="AA178" i="3" s="1"/>
  <c r="Z177" i="3"/>
  <c r="AA177" i="3" s="1"/>
  <c r="Z83" i="3"/>
  <c r="AA83" i="3" s="1"/>
  <c r="Z24" i="3"/>
  <c r="AA24" i="3" s="1"/>
  <c r="Z145" i="3"/>
  <c r="AA145" i="3" s="1"/>
  <c r="Z56" i="3"/>
  <c r="AA56" i="3" s="1"/>
  <c r="Z54" i="3"/>
  <c r="AA54" i="3" s="1"/>
  <c r="Z45" i="3"/>
  <c r="AA45" i="3" s="1"/>
  <c r="Z167" i="3"/>
  <c r="AA167" i="3" s="1"/>
  <c r="Z140" i="3"/>
  <c r="AA140" i="3" s="1"/>
  <c r="Z80" i="3"/>
  <c r="AA80" i="3" s="1"/>
  <c r="Z132" i="3"/>
  <c r="AA132" i="3" s="1"/>
  <c r="Z133" i="3"/>
  <c r="AA133" i="3" s="1"/>
  <c r="Z34" i="3"/>
  <c r="AA34" i="3" s="1"/>
  <c r="Z187" i="3"/>
  <c r="AA187" i="3" s="1"/>
  <c r="Z36" i="3"/>
  <c r="AA36" i="3" s="1"/>
  <c r="Z113" i="3"/>
  <c r="AA113" i="3" s="1"/>
  <c r="Z114" i="3"/>
  <c r="AA114" i="3" s="1"/>
  <c r="Z29" i="3"/>
  <c r="AA29" i="3" s="1"/>
  <c r="Z163" i="3"/>
  <c r="AA163" i="3" s="1"/>
  <c r="Z124" i="3"/>
  <c r="AA124" i="3" s="1"/>
  <c r="Z33" i="3"/>
  <c r="AA33" i="3" s="1"/>
  <c r="Z14" i="3"/>
  <c r="AA14" i="3" s="1"/>
  <c r="Z65" i="3"/>
  <c r="AA65" i="3" s="1"/>
  <c r="Z125" i="3"/>
  <c r="AA125" i="3" s="1"/>
  <c r="Z27" i="3"/>
  <c r="AA27" i="3" s="1"/>
  <c r="Z39" i="3"/>
  <c r="AA39" i="3" s="1"/>
  <c r="Z52" i="3"/>
  <c r="AA52" i="3" s="1"/>
  <c r="Z63" i="3"/>
  <c r="AA63" i="3" s="1"/>
  <c r="Z87" i="3"/>
  <c r="AA87" i="3" s="1"/>
  <c r="Z48" i="3"/>
  <c r="AA48" i="3" s="1"/>
  <c r="Z53" i="3"/>
  <c r="AA53" i="3" s="1"/>
  <c r="Z35" i="3"/>
  <c r="AA35" i="3" s="1"/>
  <c r="Z180" i="3"/>
  <c r="AA180" i="3" s="1"/>
  <c r="Z8" i="3"/>
  <c r="Z104" i="3"/>
  <c r="AA104" i="3" s="1"/>
  <c r="Z161" i="3"/>
  <c r="AA161" i="3" s="1"/>
  <c r="Z96" i="3"/>
  <c r="AA96" i="3" s="1"/>
  <c r="Z121" i="3"/>
  <c r="AA121" i="3" s="1"/>
  <c r="Z15" i="3"/>
  <c r="AA15" i="3" s="1"/>
  <c r="Z197" i="3"/>
  <c r="AA197" i="3" s="1"/>
  <c r="Z164" i="3"/>
  <c r="AA164" i="3" s="1"/>
  <c r="Z31" i="3"/>
  <c r="AA31" i="3" s="1"/>
  <c r="Z122" i="3"/>
  <c r="AA122" i="3" s="1"/>
  <c r="Z168" i="3"/>
  <c r="AA168" i="3" s="1"/>
  <c r="Z86" i="3"/>
  <c r="AA86" i="3" s="1"/>
  <c r="Z49" i="3"/>
  <c r="AA49" i="3" s="1"/>
  <c r="Z62" i="3"/>
  <c r="AA62" i="3" s="1"/>
  <c r="Z123" i="3"/>
  <c r="AA123" i="3" s="1"/>
  <c r="Z194" i="3"/>
  <c r="AA194" i="3" s="1"/>
  <c r="Z109" i="3"/>
  <c r="AA109" i="3" s="1"/>
  <c r="Z55" i="3"/>
  <c r="AA55" i="3" s="1"/>
  <c r="Z46" i="3"/>
  <c r="AA46" i="3" s="1"/>
  <c r="Z42" i="3"/>
  <c r="AA42" i="3" s="1"/>
  <c r="Z159" i="3"/>
  <c r="AA159" i="3" s="1"/>
  <c r="Z153" i="3"/>
  <c r="AA153" i="3" s="1"/>
  <c r="Z9" i="3"/>
  <c r="Z97" i="3"/>
  <c r="AA97" i="3" s="1"/>
  <c r="Z151" i="3"/>
  <c r="AA151" i="3" s="1"/>
  <c r="Z110" i="3"/>
  <c r="AA110" i="3" s="1"/>
  <c r="Z166" i="3"/>
  <c r="AA166" i="3" s="1"/>
  <c r="Z160" i="3"/>
  <c r="AA160" i="3" s="1"/>
  <c r="Z7" i="3"/>
  <c r="Z6" i="3"/>
  <c r="Z5" i="3"/>
  <c r="Z58" i="3"/>
  <c r="AA58" i="3" s="1"/>
  <c r="Z195" i="3"/>
  <c r="AA195" i="3" s="1"/>
  <c r="Z184" i="3"/>
  <c r="AA184" i="3" s="1"/>
  <c r="Z28" i="3"/>
  <c r="AA28" i="3" s="1"/>
  <c r="Z37" i="3"/>
  <c r="AA37" i="3" s="1"/>
  <c r="Z107" i="3"/>
  <c r="AA107" i="3" s="1"/>
  <c r="Z176" i="3"/>
  <c r="AA176" i="3" s="1"/>
  <c r="Z76" i="3"/>
  <c r="AA76" i="3" s="1"/>
  <c r="Z135" i="3"/>
  <c r="AA135" i="3" s="1"/>
  <c r="Z12" i="3"/>
  <c r="AA12" i="3" s="1"/>
  <c r="Z193" i="3"/>
  <c r="AA193" i="3" s="1"/>
  <c r="Z108" i="3"/>
  <c r="AA108" i="3" s="1"/>
  <c r="Z131" i="3"/>
  <c r="AA131" i="3" s="1"/>
  <c r="Z73" i="3"/>
  <c r="AA73" i="3" s="1"/>
  <c r="Z74" i="3"/>
  <c r="AA74" i="3" s="1"/>
  <c r="Z93" i="3"/>
  <c r="AA93" i="3" s="1"/>
  <c r="Z88" i="3"/>
  <c r="AA88" i="3" s="1"/>
  <c r="Z100" i="3"/>
  <c r="AA100" i="3" s="1"/>
  <c r="Z90" i="3"/>
  <c r="AA90" i="3" s="1"/>
  <c r="Z136" i="3"/>
  <c r="AA136" i="3" s="1"/>
  <c r="Z61" i="3"/>
  <c r="AA61" i="3" s="1"/>
  <c r="Z4" i="3"/>
  <c r="Z156" i="3"/>
  <c r="AA156" i="3" s="1"/>
  <c r="Z189" i="3"/>
  <c r="AA189" i="3" s="1"/>
  <c r="Z3" i="3"/>
  <c r="Z70" i="3"/>
  <c r="AA70" i="3" s="1"/>
  <c r="Z112" i="3"/>
  <c r="AA112" i="3" s="1"/>
  <c r="Z142" i="3"/>
  <c r="AA142" i="3" s="1"/>
  <c r="Z21" i="3"/>
  <c r="AA21" i="3" s="1"/>
  <c r="Z78" i="3"/>
  <c r="AA78" i="3" s="1"/>
  <c r="Z148" i="3"/>
  <c r="AA148" i="3" s="1"/>
  <c r="Z192" i="3"/>
  <c r="AA192" i="3" s="1"/>
  <c r="Z144" i="3"/>
  <c r="AA144" i="3" s="1"/>
  <c r="Z17" i="3"/>
  <c r="AA17" i="3" s="1"/>
  <c r="Z174" i="3"/>
  <c r="AA174" i="3" s="1"/>
  <c r="Z57" i="3"/>
  <c r="AA57" i="3" s="1"/>
  <c r="Z68" i="3"/>
  <c r="AA68" i="3" s="1"/>
  <c r="Z130" i="3"/>
  <c r="AA130" i="3" s="1"/>
  <c r="Z41" i="3"/>
  <c r="AA41" i="3" s="1"/>
  <c r="Z127" i="3"/>
  <c r="AA127" i="3" s="1"/>
  <c r="Z82" i="3"/>
  <c r="AA82" i="3" s="1"/>
  <c r="Z116" i="3"/>
  <c r="AA116" i="3" s="1"/>
  <c r="Z67" i="3"/>
  <c r="AA67" i="3" s="1"/>
  <c r="Z117" i="3"/>
  <c r="AA117" i="3" s="1"/>
  <c r="Z19" i="3"/>
  <c r="AA19" i="3" s="1"/>
  <c r="Z51" i="3"/>
  <c r="AA51" i="3" s="1"/>
  <c r="Z200" i="3"/>
  <c r="AA200" i="3" s="1"/>
  <c r="Z146" i="3"/>
  <c r="AA146" i="3" s="1"/>
  <c r="Z152" i="3"/>
  <c r="AA152" i="3" s="1"/>
  <c r="Z18" i="3"/>
  <c r="AA18" i="3" s="1"/>
  <c r="Z20" i="3"/>
  <c r="AA20" i="3" s="1"/>
  <c r="Z115" i="3"/>
  <c r="AA115" i="3" s="1"/>
  <c r="Z44" i="3"/>
  <c r="AA44" i="3" s="1"/>
  <c r="Z185" i="3"/>
  <c r="AA185" i="3" s="1"/>
  <c r="Z150" i="3"/>
  <c r="AA150" i="3" s="1"/>
  <c r="Z81" i="3"/>
  <c r="AA81" i="3" s="1"/>
  <c r="Z129" i="3"/>
  <c r="AA129" i="3" s="1"/>
  <c r="Z105" i="3"/>
  <c r="AA105" i="3" s="1"/>
  <c r="Z143" i="3"/>
  <c r="AA143" i="3" s="1"/>
  <c r="Z47" i="3"/>
  <c r="AA47" i="3" s="1"/>
  <c r="Z179" i="3"/>
  <c r="AA179" i="3" s="1"/>
  <c r="Z106" i="3"/>
  <c r="AA106" i="3" s="1"/>
  <c r="Z141" i="3"/>
  <c r="AA141" i="3" s="1"/>
  <c r="Z95" i="3"/>
  <c r="AA95" i="3" s="1"/>
  <c r="Z111" i="3"/>
  <c r="AA111" i="3" s="1"/>
  <c r="Z173" i="3"/>
  <c r="AA173" i="3" s="1"/>
  <c r="Z154" i="3"/>
  <c r="AA154" i="3" s="1"/>
  <c r="Z155" i="3"/>
  <c r="AA155" i="3" s="1"/>
  <c r="Z149" i="3"/>
  <c r="AA149" i="3" s="1"/>
  <c r="Z198" i="3"/>
  <c r="AA198" i="3" s="1"/>
  <c r="Z99" i="3"/>
  <c r="AA99" i="3" s="1"/>
  <c r="Z77" i="3"/>
  <c r="AA77" i="3" s="1"/>
  <c r="Z147" i="3"/>
  <c r="AA147" i="3" s="1"/>
  <c r="Z101" i="3"/>
  <c r="AA101" i="3" s="1"/>
  <c r="Z199" i="3"/>
  <c r="AA199" i="3" s="1"/>
  <c r="Z16" i="3"/>
  <c r="AA16" i="3" s="1"/>
  <c r="Z89" i="3"/>
  <c r="AA89" i="3" s="1"/>
  <c r="Z40" i="3"/>
  <c r="AA40" i="3" s="1"/>
  <c r="Z169" i="3"/>
  <c r="AA169" i="3" s="1"/>
  <c r="Z118" i="3"/>
  <c r="AA118" i="3" s="1"/>
  <c r="Z91" i="3"/>
  <c r="AA91" i="3" s="1"/>
  <c r="Z120" i="3"/>
  <c r="AA120" i="3" s="1"/>
  <c r="Z137" i="3"/>
  <c r="AA137" i="3" s="1"/>
  <c r="Z72" i="3"/>
  <c r="AA72" i="3" s="1"/>
  <c r="Z75" i="3"/>
  <c r="AA75" i="3" s="1"/>
  <c r="Z188" i="3"/>
  <c r="AA188" i="3" s="1"/>
  <c r="Z191" i="3"/>
  <c r="AA191" i="3" s="1"/>
  <c r="Z66" i="3"/>
  <c r="AA66" i="3" s="1"/>
  <c r="Z22" i="3"/>
  <c r="AA22" i="3" s="1"/>
  <c r="Z186" i="3"/>
  <c r="AA186" i="3" s="1"/>
  <c r="Z157" i="3"/>
  <c r="AA157" i="3" s="1"/>
  <c r="Z181" i="3"/>
  <c r="AA181" i="3" s="1"/>
  <c r="Z126" i="3"/>
  <c r="AA126" i="3" s="1"/>
  <c r="Z134" i="3"/>
  <c r="AA134" i="3" s="1"/>
  <c r="Z202" i="3"/>
  <c r="AA202" i="3" s="1"/>
  <c r="Z102" i="3"/>
  <c r="AA102" i="3" s="1"/>
  <c r="Z30" i="3"/>
  <c r="AA30" i="3" s="1"/>
  <c r="Z175" i="3"/>
  <c r="AA175" i="3" s="1"/>
  <c r="Z201" i="3"/>
  <c r="AA201" i="3" s="1"/>
  <c r="Z85" i="3"/>
  <c r="AA85" i="3" s="1"/>
  <c r="AA4" i="3" l="1"/>
  <c r="AA3" i="3"/>
  <c r="AA10" i="3"/>
  <c r="AA5" i="3"/>
  <c r="AA6" i="3"/>
  <c r="AA9" i="3"/>
  <c r="AA8" i="3"/>
  <c r="AA7" i="3"/>
  <c r="P33" i="3"/>
  <c r="P49" i="3"/>
  <c r="P55" i="3"/>
  <c r="P177" i="3"/>
  <c r="P155" i="3"/>
  <c r="P187" i="3"/>
  <c r="P169" i="3"/>
  <c r="P19" i="3"/>
  <c r="P147" i="3"/>
  <c r="P76" i="3"/>
  <c r="P48" i="3"/>
  <c r="P30" i="3"/>
  <c r="P171" i="3"/>
  <c r="P189" i="3"/>
  <c r="P42" i="3"/>
  <c r="P7" i="3"/>
  <c r="P77" i="3"/>
  <c r="P47" i="3"/>
  <c r="P41" i="3"/>
  <c r="P70" i="3"/>
  <c r="P90" i="3"/>
  <c r="P195" i="3"/>
  <c r="P98" i="3"/>
  <c r="P106" i="3"/>
  <c r="P124" i="3"/>
  <c r="P60" i="3"/>
  <c r="P97" i="3"/>
  <c r="P64" i="3"/>
  <c r="P87" i="3"/>
  <c r="P132" i="3"/>
  <c r="P170" i="3"/>
  <c r="P188" i="3"/>
  <c r="P29" i="3"/>
  <c r="P185" i="3"/>
  <c r="P61" i="3"/>
  <c r="P32" i="3"/>
  <c r="P129" i="3"/>
  <c r="P112" i="3"/>
  <c r="P83" i="3"/>
  <c r="P86" i="3"/>
  <c r="P154" i="3"/>
  <c r="P34" i="3"/>
  <c r="P136" i="3"/>
  <c r="P8" i="3"/>
  <c r="P121" i="3"/>
  <c r="P139" i="3"/>
  <c r="P152" i="3"/>
  <c r="P159" i="3"/>
  <c r="P176" i="3"/>
  <c r="P14" i="3"/>
  <c r="P53" i="3"/>
  <c r="P180" i="3"/>
  <c r="P89" i="3"/>
  <c r="P84" i="3"/>
  <c r="P111" i="3"/>
  <c r="P25" i="3"/>
  <c r="P24" i="3"/>
  <c r="P57" i="3"/>
  <c r="P145" i="3"/>
  <c r="P172" i="3"/>
  <c r="P102" i="3"/>
  <c r="P157" i="3"/>
  <c r="P63" i="3"/>
  <c r="P72" i="3"/>
  <c r="P128" i="3"/>
  <c r="P99" i="3"/>
  <c r="P103" i="3"/>
  <c r="P168" i="3"/>
  <c r="P36" i="3"/>
  <c r="P138" i="3"/>
  <c r="P67" i="3"/>
  <c r="P156" i="3"/>
  <c r="P73" i="3"/>
  <c r="P193" i="3"/>
  <c r="P17" i="3"/>
  <c r="P133" i="3"/>
  <c r="P142" i="3"/>
  <c r="P175" i="3"/>
  <c r="P125" i="3"/>
  <c r="P69" i="3"/>
  <c r="P71" i="3"/>
  <c r="P91" i="3"/>
  <c r="P68" i="3"/>
  <c r="P165" i="3"/>
  <c r="P162" i="3"/>
  <c r="P110" i="3"/>
  <c r="P173" i="3"/>
  <c r="P95" i="3"/>
  <c r="P143" i="3"/>
  <c r="P114" i="3"/>
  <c r="P39" i="3"/>
  <c r="P146" i="3"/>
  <c r="P197" i="3"/>
  <c r="P78" i="3"/>
  <c r="P5" i="3"/>
  <c r="P100" i="3"/>
  <c r="P23" i="3"/>
  <c r="P12" i="3"/>
  <c r="P107" i="3"/>
  <c r="P58" i="3"/>
  <c r="P105" i="3"/>
  <c r="P52" i="3"/>
  <c r="P82" i="3"/>
  <c r="P120" i="3"/>
  <c r="P65" i="3"/>
  <c r="P9" i="3"/>
  <c r="P179" i="3"/>
  <c r="P27" i="3"/>
  <c r="P18" i="3"/>
  <c r="P10" i="3"/>
  <c r="P148" i="3"/>
  <c r="P164" i="3"/>
  <c r="P54" i="3"/>
  <c r="P81" i="3"/>
  <c r="P200" i="3"/>
  <c r="P96" i="3"/>
  <c r="P130" i="3"/>
  <c r="P174" i="3"/>
  <c r="P151" i="3"/>
  <c r="P4" i="3"/>
  <c r="P37" i="3"/>
  <c r="P123" i="3"/>
  <c r="P28" i="3"/>
  <c r="P93" i="3"/>
  <c r="P126" i="3"/>
  <c r="P3" i="3"/>
  <c r="P178" i="3"/>
  <c r="P184" i="3"/>
  <c r="P167" i="3"/>
  <c r="P74" i="3"/>
  <c r="P158" i="3"/>
  <c r="P127" i="3"/>
  <c r="P191" i="3"/>
  <c r="P186" i="3"/>
  <c r="P35" i="3"/>
  <c r="P190" i="3"/>
  <c r="P59" i="3"/>
  <c r="P198" i="3"/>
  <c r="P166" i="3"/>
  <c r="P141" i="3"/>
  <c r="P50" i="3"/>
  <c r="P44" i="3"/>
  <c r="P116" i="3"/>
  <c r="P196" i="3"/>
  <c r="P21" i="3"/>
  <c r="P182" i="3"/>
  <c r="P131" i="3"/>
  <c r="P56" i="3"/>
  <c r="P62" i="3"/>
  <c r="P45" i="3"/>
  <c r="P101" i="3"/>
  <c r="P150" i="3"/>
  <c r="P31" i="3"/>
  <c r="P92" i="3"/>
  <c r="P153" i="3"/>
  <c r="P51" i="3"/>
  <c r="P144" i="3"/>
  <c r="P160" i="3"/>
  <c r="P66" i="3"/>
  <c r="P38" i="3"/>
  <c r="P20" i="3"/>
  <c r="P11" i="3"/>
  <c r="P75" i="3"/>
  <c r="P109" i="3"/>
  <c r="P119" i="3"/>
  <c r="P104" i="3"/>
  <c r="P181" i="3"/>
  <c r="P40" i="3"/>
  <c r="P194" i="3"/>
  <c r="P192" i="3"/>
  <c r="P13" i="3"/>
  <c r="P6" i="3"/>
  <c r="P117" i="3"/>
  <c r="P85" i="3"/>
  <c r="P16" i="3"/>
  <c r="P202" i="3"/>
  <c r="P43" i="3"/>
  <c r="P134" i="3"/>
  <c r="P161" i="3"/>
  <c r="P201" i="3"/>
  <c r="P22" i="3"/>
  <c r="P15" i="3"/>
  <c r="P137" i="3"/>
  <c r="P118" i="3"/>
  <c r="P199" i="3"/>
  <c r="P149" i="3"/>
  <c r="P140" i="3"/>
  <c r="P26" i="3"/>
  <c r="P79" i="3"/>
  <c r="P115" i="3"/>
  <c r="P80" i="3"/>
  <c r="P94" i="3"/>
  <c r="P113" i="3"/>
  <c r="P183" i="3"/>
  <c r="P122" i="3"/>
  <c r="P88" i="3"/>
  <c r="P108" i="3"/>
  <c r="P135" i="3"/>
  <c r="P46" i="3"/>
  <c r="P163" i="3"/>
  <c r="J4" i="10" l="1"/>
  <c r="J3" i="10"/>
  <c r="J2" i="10"/>
  <c r="J8" i="10"/>
  <c r="J7" i="10"/>
  <c r="J6" i="10"/>
  <c r="J5" i="10"/>
  <c r="J9" i="10"/>
  <c r="J10" i="10"/>
  <c r="J13" i="10"/>
  <c r="J11" i="10"/>
  <c r="J12"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tc={386277F8-40FB-443E-8BF4-5D3F851C7957}</author>
  </authors>
  <commentList>
    <comment ref="F5" authorId="0" shapeId="0" xr:uid="{386277F8-40FB-443E-8BF4-5D3F851C7957}">
      <text>
        <t xml:space="preserve">[Threaded comment]
Your version of Excel allows you to read this threaded comment; however, any edits to it will get removed if the file is opened in a newer version of Excel. Learn more: https://go.microsoft.com/fwlink/?linkid=870924
Comment:
    Is this still true? I see the team names there.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Christina Goulette</author>
    <author>Georb</author>
  </authors>
  <commentList>
    <comment ref="A5" authorId="0" shapeId="0" xr:uid="{EC615FFB-874C-4A14-8134-5D4E1BAA7A57}">
      <text>
        <r>
          <rPr>
            <b/>
            <sz val="9"/>
            <color indexed="81"/>
            <rFont val="Tahoma"/>
            <family val="2"/>
          </rPr>
          <t>This cell will calculate automatically once team information is added.</t>
        </r>
      </text>
    </comment>
    <comment ref="A8" authorId="0" shapeId="0" xr:uid="{A098D9F5-9C13-4F82-B44D-FC9769E4DC80}">
      <text>
        <r>
          <rPr>
            <b/>
            <sz val="9"/>
            <color indexed="81"/>
            <rFont val="Tahoma"/>
            <family val="2"/>
          </rPr>
          <t>This cell must be updated manually for each event.</t>
        </r>
      </text>
    </comment>
    <comment ref="A11" authorId="0" shapeId="0" xr:uid="{ED0CF97F-E57F-46BA-B2D8-0C2C751CDA1C}">
      <text>
        <r>
          <rPr>
            <b/>
            <sz val="9"/>
            <color indexed="81"/>
            <rFont val="Tahoma"/>
            <family val="2"/>
          </rPr>
          <t>This is required to calculate the Average Robot Game Score for each team. You can enter 3-6 official match
rounds.</t>
        </r>
        <r>
          <rPr>
            <sz val="9"/>
            <color indexed="81"/>
            <rFont val="Tahoma"/>
            <family val="2"/>
          </rPr>
          <t xml:space="preserve">
</t>
        </r>
      </text>
    </comment>
    <comment ref="A13" authorId="1" shapeId="0" xr:uid="{C7752BB2-A258-4DC4-89DA-1E470C3803E0}">
      <text>
        <r>
          <rPr>
            <b/>
            <sz val="9"/>
            <color indexed="81"/>
            <rFont val="Tahoma"/>
            <family val="2"/>
          </rPr>
          <t xml:space="preserve">This list of awards is a single column table and is used for the award dropdown in the Results and Rankings sheet. Currently, it has eight awards with two empty spaces. 
Extra award names could be added to cells A22 and A23 and they will appear in the Awards dropdown in the Results and Rankings sheet. 
To have more than ten awards, the "AwardListLookup" named range will be expanded to include the additional awards.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Christina Goulette</author>
  </authors>
  <commentList>
    <comment ref="J3" authorId="0" shapeId="0" xr:uid="{7DB617F1-5989-42DB-860A-79FE830EE472}">
      <text>
        <r>
          <rPr>
            <b/>
            <sz val="9"/>
            <color indexed="81"/>
            <rFont val="Tahoma"/>
            <family val="2"/>
          </rPr>
          <t>The Robot Game Score Average will display an error if the number of rounds has not been entered in cell A11 on the Team and Program Information Sheet.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Christina Goulette</author>
  </authors>
  <commentList>
    <comment ref="J2" authorId="0" shapeId="0" xr:uid="{A1F262DD-FAA4-4FE8-A3EE-57497C04519F}">
      <text>
        <r>
          <rPr>
            <b/>
            <sz val="9"/>
            <color indexed="81"/>
            <rFont val="Tahoma"/>
            <family val="2"/>
          </rPr>
          <t>The Robot Game Score Average will display an error if the number of rounds has not been entered in cell A11 on the Team and Program Information Sheet.</t>
        </r>
      </text>
    </comment>
  </commentList>
</comments>
</file>

<file path=xl/sharedStrings.xml><?xml version="1.0" encoding="utf-8"?>
<sst xmlns="http://schemas.openxmlformats.org/spreadsheetml/2006/main" count="180" uniqueCount="146">
  <si>
    <t>DESIGNED FOR USE IN MICROSOFT EXCEL.
SOME FUNCTIONALITY MAY BE LOST IN OTHER APPLICATIONS.</t>
  </si>
  <si>
    <t>1.</t>
  </si>
  <si>
    <t>You may notice that the team names do not appear on the 'Robot Game Scores' page - don’t worry, some events use an import for this page, you can still enter the scores manually and the data will still populate the results and ranking list. Columns C-L in 'Core Values Input' are intentially hidden and no data should be typed in those cells.</t>
  </si>
  <si>
    <t>2.</t>
  </si>
  <si>
    <t xml:space="preserve">Many columns in the various tables have formulas. Please use caution to not accidentally edit or delete the formulas. </t>
  </si>
  <si>
    <t>3.</t>
  </si>
  <si>
    <r>
      <t xml:space="preserve">Collect the rubric scores from the judges and the robot game scores (including </t>
    </r>
    <r>
      <rPr>
        <i/>
        <sz val="36"/>
        <color theme="1"/>
        <rFont val="Calibri"/>
        <family val="2"/>
        <scheme val="minor"/>
      </rPr>
      <t>Gracious Professionalism</t>
    </r>
    <r>
      <rPr>
        <sz val="36"/>
        <color theme="1"/>
        <rFont val="Calibri"/>
        <family val="2"/>
        <scheme val="minor"/>
      </rPr>
      <t xml:space="preserve">® scores) from the referees throughout the event and </t>
    </r>
    <r>
      <rPr>
        <b/>
        <sz val="36"/>
        <color theme="1"/>
        <rFont val="Calibri"/>
        <family val="2"/>
        <scheme val="minor"/>
      </rPr>
      <t>enter the data</t>
    </r>
    <r>
      <rPr>
        <sz val="36"/>
        <color theme="1"/>
        <rFont val="Calibri"/>
        <family val="2"/>
        <scheme val="minor"/>
      </rPr>
      <t xml:space="preserve"> into the corresponding sheets of this workbook.</t>
    </r>
  </si>
  <si>
    <t>4.</t>
  </si>
  <si>
    <r>
      <t>When all the data has been inputted, go the '</t>
    </r>
    <r>
      <rPr>
        <b/>
        <sz val="36"/>
        <color theme="1"/>
        <rFont val="Calibri"/>
        <family val="2"/>
        <scheme val="minor"/>
      </rPr>
      <t>Results and Rankings</t>
    </r>
    <r>
      <rPr>
        <sz val="36"/>
        <color theme="1"/>
        <rFont val="Calibri"/>
        <family val="2"/>
        <scheme val="minor"/>
      </rPr>
      <t>' page to view all of the information in one place.</t>
    </r>
  </si>
  <si>
    <r>
      <t xml:space="preserve">You are now ready to </t>
    </r>
    <r>
      <rPr>
        <b/>
        <sz val="36"/>
        <color theme="1"/>
        <rFont val="Calibri"/>
        <family val="2"/>
        <scheme val="minor"/>
      </rPr>
      <t>allocate your awards</t>
    </r>
    <r>
      <rPr>
        <sz val="36"/>
        <color theme="1"/>
        <rFont val="Calibri"/>
        <family val="2"/>
        <scheme val="minor"/>
      </rPr>
      <t xml:space="preserve"> based on your rankings using the 'Awards and Allocations' document in the judging toolkit.</t>
    </r>
  </si>
  <si>
    <t>Version</t>
  </si>
  <si>
    <t>Row</t>
  </si>
  <si>
    <t>Team Number</t>
  </si>
  <si>
    <t>Team Name</t>
  </si>
  <si>
    <t>Coach</t>
  </si>
  <si>
    <t>Pod Number</t>
  </si>
  <si>
    <t>Number of Teams</t>
  </si>
  <si>
    <t>Number of Teams Advancing</t>
  </si>
  <si>
    <t>Award Lookup List</t>
  </si>
  <si>
    <t>Champion's</t>
  </si>
  <si>
    <t>Core Values</t>
  </si>
  <si>
    <t>Rising All-Star</t>
  </si>
  <si>
    <t>Team Information</t>
  </si>
  <si>
    <t>Judging</t>
  </si>
  <si>
    <t>Overall</t>
  </si>
  <si>
    <t>Awards &amp; Advancement</t>
  </si>
  <si>
    <t>Testing Items (Info Only)</t>
  </si>
  <si>
    <t>Comments</t>
  </si>
  <si>
    <t>Core Values Rank</t>
  </si>
  <si>
    <t>Innovation Project Rank</t>
  </si>
  <si>
    <t>Champion's Score</t>
  </si>
  <si>
    <t>Champion's Rank</t>
  </si>
  <si>
    <t>Award</t>
  </si>
  <si>
    <t>Award Place</t>
  </si>
  <si>
    <t>Advance?</t>
  </si>
  <si>
    <t>Core Values Score</t>
  </si>
  <si>
    <t>Overall Score - Geometric Mean</t>
  </si>
  <si>
    <t>Overall Ranking - Geometric Mean</t>
  </si>
  <si>
    <t>Innovation Project Score</t>
  </si>
  <si>
    <t>Gracious Professionalism 1</t>
  </si>
  <si>
    <t>Gracious Professionalism 2</t>
  </si>
  <si>
    <t>Gracious Professionalism 3</t>
  </si>
  <si>
    <t>Gracious Professionalism 4</t>
  </si>
  <si>
    <t>Gracious Professionalism 5</t>
  </si>
  <si>
    <t>Gracious Professionalism Empty Count</t>
  </si>
  <si>
    <t>Gracious Professionalism Total</t>
  </si>
  <si>
    <t>Gracious Professionalism Score</t>
  </si>
  <si>
    <t>Rising All-Star Selection</t>
  </si>
  <si>
    <t>rank</t>
  </si>
  <si>
    <t>team</t>
  </si>
  <si>
    <t>total</t>
  </si>
  <si>
    <t>Team 1</t>
  </si>
  <si>
    <t>Team 2</t>
  </si>
  <si>
    <t>Team 3</t>
  </si>
  <si>
    <t>Team 4</t>
  </si>
  <si>
    <t>Team 5</t>
  </si>
  <si>
    <t>Team 6</t>
  </si>
  <si>
    <t>Team 7</t>
  </si>
  <si>
    <t>Team 8</t>
  </si>
  <si>
    <t>Coach 1</t>
  </si>
  <si>
    <t>Coach 2</t>
  </si>
  <si>
    <t>Coach 3</t>
  </si>
  <si>
    <t>Coach 4</t>
  </si>
  <si>
    <t>Coach 5</t>
  </si>
  <si>
    <t>Coach 6</t>
  </si>
  <si>
    <t>Coach 7</t>
  </si>
  <si>
    <t>Coach 8</t>
  </si>
  <si>
    <t>Engineering Design</t>
  </si>
  <si>
    <t>Game Performance</t>
  </si>
  <si>
    <t>Inspiration</t>
  </si>
  <si>
    <t>Coopertition Award</t>
  </si>
  <si>
    <t>Highest Combined Score</t>
  </si>
  <si>
    <t>Red Team Name</t>
  </si>
  <si>
    <t>Blue Team Name</t>
  </si>
  <si>
    <t>Blue Team Number</t>
  </si>
  <si>
    <t>Red Team Number</t>
  </si>
  <si>
    <t>Blue Team Score</t>
  </si>
  <si>
    <t>Red Team Score</t>
  </si>
  <si>
    <t>Table #</t>
  </si>
  <si>
    <r>
      <t>Open the '</t>
    </r>
    <r>
      <rPr>
        <b/>
        <sz val="36"/>
        <color theme="1"/>
        <rFont val="Calibri"/>
        <family val="2"/>
        <scheme val="minor"/>
      </rPr>
      <t>Team and Program Information'</t>
    </r>
    <r>
      <rPr>
        <sz val="36"/>
        <color theme="1"/>
        <rFont val="Calibri"/>
        <family val="2"/>
        <scheme val="minor"/>
      </rPr>
      <t xml:space="preserve"> page. Enter the </t>
    </r>
    <r>
      <rPr>
        <b/>
        <sz val="36"/>
        <color theme="1"/>
        <rFont val="Calibri"/>
        <family val="2"/>
        <scheme val="minor"/>
      </rPr>
      <t xml:space="preserve">team numbers </t>
    </r>
    <r>
      <rPr>
        <sz val="36"/>
        <color theme="1"/>
        <rFont val="Calibri"/>
        <family val="2"/>
        <scheme val="minor"/>
      </rPr>
      <t xml:space="preserve">and the </t>
    </r>
    <r>
      <rPr>
        <b/>
        <sz val="36"/>
        <color theme="1"/>
        <rFont val="Calibri"/>
        <family val="2"/>
        <scheme val="minor"/>
      </rPr>
      <t>team names</t>
    </r>
    <r>
      <rPr>
        <sz val="36"/>
        <color theme="1"/>
        <rFont val="Calibri"/>
        <family val="2"/>
        <scheme val="minor"/>
      </rPr>
      <t xml:space="preserve">. Also, the </t>
    </r>
    <r>
      <rPr>
        <b/>
        <sz val="36"/>
        <color theme="1"/>
        <rFont val="Calibri"/>
        <family val="2"/>
        <scheme val="minor"/>
      </rPr>
      <t>number of teams</t>
    </r>
    <r>
      <rPr>
        <sz val="36"/>
        <color theme="1"/>
        <rFont val="Calibri"/>
        <family val="2"/>
        <scheme val="minor"/>
      </rPr>
      <t xml:space="preserve"> </t>
    </r>
    <r>
      <rPr>
        <b/>
        <sz val="36"/>
        <color theme="1"/>
        <rFont val="Calibri"/>
        <family val="2"/>
        <scheme val="minor"/>
      </rPr>
      <t xml:space="preserve">advancing </t>
    </r>
    <r>
      <rPr>
        <sz val="36"/>
        <color theme="1"/>
        <rFont val="Calibri"/>
        <family val="2"/>
        <scheme val="minor"/>
      </rPr>
      <t xml:space="preserve">from this event and the </t>
    </r>
    <r>
      <rPr>
        <b/>
        <sz val="36"/>
        <color theme="1"/>
        <rFont val="Calibri"/>
        <family val="2"/>
        <scheme val="minor"/>
      </rPr>
      <t>number of Robot Game rounds</t>
    </r>
    <r>
      <rPr>
        <sz val="36"/>
        <color theme="1"/>
        <rFont val="Calibri"/>
        <family val="2"/>
        <scheme val="minor"/>
      </rPr>
      <t xml:space="preserve"> in the boxes on the left. The number of teams will be calculated automatically. This information will show in the other sheets and is </t>
    </r>
    <r>
      <rPr>
        <b/>
        <u/>
        <sz val="36"/>
        <color theme="1"/>
        <rFont val="Calibri"/>
        <family val="2"/>
        <scheme val="minor"/>
      </rPr>
      <t>required</t>
    </r>
    <r>
      <rPr>
        <sz val="36"/>
        <color theme="1"/>
        <rFont val="Calibri"/>
        <family val="2"/>
        <scheme val="minor"/>
      </rPr>
      <t xml:space="preserve"> for ranking and advancement purposes.</t>
    </r>
  </si>
  <si>
    <t>Inspiration Award</t>
  </si>
  <si>
    <t>Inspiration Selection</t>
  </si>
  <si>
    <t>Gracious Professionalism 6</t>
  </si>
  <si>
    <t>Match Score 1</t>
  </si>
  <si>
    <t>Match Score 2</t>
  </si>
  <si>
    <t>Match Score 3</t>
  </si>
  <si>
    <t>Match Score 4</t>
  </si>
  <si>
    <t>Match Score 5</t>
  </si>
  <si>
    <t>Match Score 6</t>
  </si>
  <si>
    <t xml:space="preserve"> Game Rank</t>
  </si>
  <si>
    <t>Project</t>
  </si>
  <si>
    <t>Event Match Ranking</t>
  </si>
  <si>
    <t>Game Rank</t>
  </si>
  <si>
    <t xml:space="preserve"> Project Rank</t>
  </si>
  <si>
    <t>Number Matches per Team</t>
  </si>
  <si>
    <t>Game Match #</t>
  </si>
  <si>
    <t>Game</t>
  </si>
  <si>
    <t>Project CV 1 - EXPLORE</t>
  </si>
  <si>
    <t>Project CV 2 IDEATE</t>
  </si>
  <si>
    <t>Project CV 3 - IMPLEMENT</t>
  </si>
  <si>
    <t>Project CV 4 - COMMUNICATE</t>
  </si>
  <si>
    <t>Engineering CV 1 - IDENTIFY</t>
  </si>
  <si>
    <t>Engineering CV 2 - ITERATE</t>
  </si>
  <si>
    <t>Engineering CV 3 - COMMUNINCATE</t>
  </si>
  <si>
    <t>Engineering CV 4 - COMMUNINCATE</t>
  </si>
  <si>
    <t>Max Match Score</t>
  </si>
  <si>
    <t>Match Score Average</t>
  </si>
  <si>
    <t>Match 1 Score</t>
  </si>
  <si>
    <t>Match 2 Score</t>
  </si>
  <si>
    <t>Match 3 Score</t>
  </si>
  <si>
    <t>Match 4 Score</t>
  </si>
  <si>
    <t>Match 5 Score</t>
  </si>
  <si>
    <t>Match 6 Score</t>
  </si>
  <si>
    <t>Engineering Design Score</t>
  </si>
  <si>
    <t>Engineering Design Rank</t>
  </si>
  <si>
    <t>Identify 1</t>
  </si>
  <si>
    <t>Identify 2 (CV)</t>
  </si>
  <si>
    <t>Design &amp; Create 1</t>
  </si>
  <si>
    <t>Design &amp; Create 2</t>
  </si>
  <si>
    <t>Design &amp; Create 3</t>
  </si>
  <si>
    <t>Iterate 1</t>
  </si>
  <si>
    <t>Iterate 2</t>
  </si>
  <si>
    <t>Iterate 3 (CV)</t>
  </si>
  <si>
    <t>Communicate 1 (CV)</t>
  </si>
  <si>
    <t>Communicate 2 (CV)</t>
  </si>
  <si>
    <t>Explore 1</t>
  </si>
  <si>
    <t>Explore 2 (CV)</t>
  </si>
  <si>
    <t>Ideate 1</t>
  </si>
  <si>
    <t>Ideate 2</t>
  </si>
  <si>
    <t>Implement 1 (CV)</t>
  </si>
  <si>
    <t>Ideate 3 (CV)</t>
  </si>
  <si>
    <t>Implement 2</t>
  </si>
  <si>
    <t>Implement3</t>
  </si>
  <si>
    <t>Communicate 1</t>
  </si>
  <si>
    <r>
      <rPr>
        <b/>
        <sz val="10"/>
        <rFont val="Calibri"/>
        <family val="2"/>
        <scheme val="minor"/>
      </rPr>
      <t>Engineering</t>
    </r>
    <r>
      <rPr>
        <b/>
        <sz val="11"/>
        <rFont val="Calibri"/>
        <family val="2"/>
        <scheme val="minor"/>
      </rPr>
      <t xml:space="preserve"> </t>
    </r>
    <r>
      <rPr>
        <b/>
        <sz val="10"/>
        <rFont val="Calibri"/>
        <family val="2"/>
        <scheme val="minor"/>
      </rPr>
      <t>Design</t>
    </r>
    <r>
      <rPr>
        <b/>
        <sz val="11"/>
        <rFont val="Calibri"/>
        <family val="2"/>
        <scheme val="minor"/>
      </rPr>
      <t xml:space="preserve"> Rank</t>
    </r>
  </si>
  <si>
    <t>BIOGLOW FUTURE EDITION</t>
  </si>
  <si>
    <r>
      <rPr>
        <b/>
        <i/>
        <sz val="20"/>
        <color rgb="FF000000"/>
        <rFont val="Calibri"/>
        <family val="2"/>
        <scheme val="minor"/>
      </rPr>
      <t xml:space="preserve">FIRST® </t>
    </r>
    <r>
      <rPr>
        <b/>
        <sz val="20"/>
        <color rgb="FF000000"/>
        <rFont val="Calibri"/>
        <family val="2"/>
        <scheme val="minor"/>
      </rPr>
      <t>LEGO</t>
    </r>
    <r>
      <rPr>
        <b/>
        <sz val="20"/>
        <color rgb="FF000000"/>
        <rFont val="Calibri"/>
        <family val="2"/>
      </rPr>
      <t>®</t>
    </r>
    <r>
      <rPr>
        <b/>
        <sz val="20"/>
        <color rgb="FF000000"/>
        <rFont val="Calibri"/>
        <family val="2"/>
        <scheme val="minor"/>
      </rPr>
      <t xml:space="preserve"> League Official Judging Spreadsheet</t>
    </r>
  </si>
  <si>
    <t>If you receive an error, please double check that all information has been entered on the "Team and Program Information Sheet"</t>
  </si>
  <si>
    <t>Useful Tips</t>
  </si>
  <si>
    <t>If you are copying data into the Input pages please remember to use the 'Paste Values' or 'Use Destination Formatting' option. (This stops the formatting and formulas being overwritten)</t>
  </si>
  <si>
    <t>As you work with the OJS you should save your spreadsheet regularly in case of IT issues.</t>
  </si>
  <si>
    <t>If your event uses more than 3 official game matches, you can unhide columns G-H, using the plus (+) button above them, in 'Game Scores' and columns P-Q in 'Core Values Input' for Gracious Professionalism scores. If your event uses more than 3 official game matches, you can unhide columns G-H, using the plus (+) button above them, in 'Game Scores' and columns P-Q in 'Core Values Input' for Gracious Professionalism scores.</t>
  </si>
  <si>
    <r>
      <rPr>
        <sz val="26"/>
        <color theme="1"/>
        <rFont val="Calibri"/>
        <family val="2"/>
        <scheme val="minor"/>
      </rPr>
      <t xml:space="preserve">Core Values scores, except </t>
    </r>
    <r>
      <rPr>
        <i/>
        <sz val="26"/>
        <color theme="1"/>
        <rFont val="Calibri"/>
        <family val="2"/>
        <scheme val="minor"/>
      </rPr>
      <t xml:space="preserve">Gracious Professionalism </t>
    </r>
    <r>
      <rPr>
        <sz val="26"/>
        <color theme="1"/>
        <rFont val="Calibri"/>
        <family val="2"/>
        <scheme val="minor"/>
      </rPr>
      <t>scores from the robot game, are populated automatically from the other rubric scores - no score information should be added to columns C-L on the 'Core Values Input' page.</t>
    </r>
  </si>
  <si>
    <t xml:space="preserve"> Project Score</t>
  </si>
  <si>
    <r>
      <t xml:space="preserve">Each page is locked except for the cells where you should input data. If you should need to </t>
    </r>
    <r>
      <rPr>
        <b/>
        <sz val="28"/>
        <color theme="1"/>
        <rFont val="Calibri"/>
        <family val="2"/>
        <scheme val="minor"/>
      </rPr>
      <t>edit the locked cells or sort your data</t>
    </r>
    <r>
      <rPr>
        <sz val="28"/>
        <color theme="1"/>
        <rFont val="Calibri"/>
        <family val="2"/>
        <scheme val="minor"/>
      </rPr>
      <t>, right click on the sheet and select "Unprotect Sheet". The password is: FLLBIOGLOW2026</t>
    </r>
  </si>
  <si>
    <t>You can sort your data by a specific column by clicking on the small arrow in the column header box and selecting 'sort smallest to largest' or 'A to Z'. The page must be unlocked to sort. See last tip for more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</si>
</sst>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
    <numFmt numFmtId="165" formatCode="0.0"/>
    <numFmt numFmtId="166" formatCode="0.00;\-0.00;;@"/>
  </numFmts>
  <fonts count="39" x14ac:knownFonts="1">
    <font>
      <sz val="11"/>
      <color theme="1"/>
      <name val="Calibri"/>
      <family val="2"/>
      <scheme val="minor"/>
    </font>
    <font>
      <b/>
      <sz val="11"/>
      <color rgb="FFFA7D00"/>
      <name val="Calibri"/>
      <family val="2"/>
      <scheme val="minor"/>
    </font>
    <font>
      <i/>
      <sz val="11"/>
      <color rgb="FF7F7F7F"/>
      <name val="Calibri"/>
      <family val="2"/>
      <scheme val="minor"/>
    </font>
    <font>
      <b/>
      <sz val="16"/>
      <color theme="1"/>
      <name val="Calibri"/>
      <family val="2"/>
      <scheme val="minor"/>
    </font>
    <font>
      <b/>
      <u/>
      <sz val="28"/>
      <color rgb="FFFF0000"/>
      <name val="Calibri"/>
      <family val="2"/>
      <scheme val="minor"/>
    </font>
    <font>
      <sz val="36"/>
      <color theme="1"/>
      <name val="Calibri"/>
      <family val="2"/>
      <scheme val="minor"/>
    </font>
    <font>
      <b/>
      <sz val="36"/>
      <color theme="1"/>
      <name val="Calibri"/>
      <family val="2"/>
      <scheme val="minor"/>
    </font>
    <font>
      <sz val="22"/>
      <color theme="1"/>
      <name val="Calibri"/>
      <family val="2"/>
      <scheme val="minor"/>
    </font>
    <font>
      <i/>
      <sz val="36"/>
      <color theme="1"/>
      <name val="Calibri"/>
      <family val="2"/>
      <scheme val="minor"/>
    </font>
    <font>
      <b/>
      <sz val="20"/>
      <color theme="1"/>
      <name val="Calibri"/>
      <family val="2"/>
      <scheme val="minor"/>
    </font>
    <font>
      <sz val="12"/>
      <color theme="1"/>
      <name val="Calibri"/>
      <family val="2"/>
      <scheme val="minor"/>
    </font>
    <font>
      <sz val="16"/>
      <color theme="1"/>
      <name val="Calibri"/>
      <family val="2"/>
      <scheme val="minor"/>
    </font>
    <font>
      <b/>
      <sz val="12"/>
      <color theme="1"/>
      <name val="Calibri"/>
      <family val="2"/>
      <scheme val="minor"/>
    </font>
    <font>
      <b/>
      <sz val="9"/>
      <color indexed="81"/>
      <name val="Tahoma"/>
      <family val="2"/>
    </font>
    <font>
      <sz val="11"/>
      <color rgb="FF000000"/>
      <name val="Calibri"/>
      <family val="2"/>
      <scheme val="minor"/>
    </font>
    <font>
      <b/>
      <sz val="14"/>
      <name val="Calibri"/>
      <family val="2"/>
      <scheme val="minor"/>
    </font>
    <font>
      <b/>
      <sz val="14"/>
      <color theme="1"/>
      <name val="Calibri"/>
      <family val="2"/>
      <scheme val="minor"/>
    </font>
    <font>
      <b/>
      <sz val="11"/>
      <color theme="0"/>
      <name val="Calibri"/>
      <family val="2"/>
      <scheme val="minor"/>
    </font>
    <font>
      <b/>
      <sz val="14"/>
      <color theme="0"/>
      <name val="Calibri"/>
      <family val="2"/>
      <scheme val="minor"/>
    </font>
    <font>
      <b/>
      <sz val="18"/>
      <color theme="1"/>
      <name val="Calibri"/>
      <family val="2"/>
      <scheme val="minor"/>
    </font>
    <font>
      <b/>
      <sz val="12"/>
      <name val="Calibri"/>
      <family val="2"/>
      <scheme val="minor"/>
    </font>
    <font>
      <sz val="12"/>
      <name val="Calibri"/>
      <family val="2"/>
      <scheme val="minor"/>
    </font>
    <font>
      <sz val="11"/>
      <name val="Calibri"/>
      <family val="2"/>
      <scheme val="minor"/>
    </font>
    <font>
      <b/>
      <sz val="12"/>
      <color rgb="FF000000"/>
      <name val="Calibri"/>
      <family val="2"/>
    </font>
    <font>
      <b/>
      <i/>
      <sz val="20"/>
      <color rgb="FF000000"/>
      <name val="Calibri"/>
      <family val="2"/>
      <scheme val="minor"/>
    </font>
    <font>
      <b/>
      <sz val="20"/>
      <color rgb="FF000000"/>
      <name val="Calibri"/>
      <family val="2"/>
      <scheme val="minor"/>
    </font>
    <font>
      <b/>
      <sz val="20"/>
      <color rgb="FF000000"/>
      <name val="Calibri"/>
      <family val="2"/>
    </font>
    <font>
      <sz val="8"/>
      <name val="Calibri"/>
      <family val="2"/>
      <scheme val="minor"/>
    </font>
    <font>
      <sz val="9"/>
      <color indexed="81"/>
      <name val="Tahoma"/>
      <family val="2"/>
    </font>
    <font>
      <b/>
      <u/>
      <sz val="36"/>
      <color theme="1"/>
      <name val="Calibri"/>
      <family val="2"/>
      <scheme val="minor"/>
    </font>
    <font>
      <b/>
      <sz val="13.5"/>
      <color theme="0"/>
      <name val="Calibri"/>
      <family val="2"/>
      <scheme val="minor"/>
    </font>
    <font>
      <b/>
      <i/>
      <sz val="13.5"/>
      <color theme="1"/>
      <name val="Calibri"/>
      <family val="2"/>
      <scheme val="minor"/>
    </font>
    <font>
      <i/>
      <sz val="12"/>
      <color theme="1"/>
      <name val="Calibri"/>
      <family val="2"/>
      <scheme val="minor"/>
    </font>
    <font>
      <b/>
      <sz val="11"/>
      <name val="Calibri"/>
      <family val="2"/>
      <scheme val="minor"/>
    </font>
    <font>
      <b/>
      <sz val="10"/>
      <name val="Calibri"/>
      <family val="2"/>
      <scheme val="minor"/>
    </font>
    <font>
      <sz val="26"/>
      <color theme="1"/>
      <name val="Calibri"/>
      <family val="2"/>
      <scheme val="minor"/>
    </font>
    <font>
      <sz val="28"/>
      <color theme="1"/>
      <name val="Calibri"/>
      <family val="2"/>
      <scheme val="minor"/>
    </font>
    <font>
      <i/>
      <sz val="26"/>
      <color theme="1"/>
      <name val="Calibri"/>
      <family val="2"/>
      <scheme val="minor"/>
    </font>
    <font>
      <b/>
      <sz val="28"/>
      <color theme="1"/>
      <name val="Calibri"/>
      <family val="2"/>
      <scheme val="minor"/>
    </font>
  </fonts>
  <fills count="2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FFFFCC"/>
        <bgColor indexed="64"/>
      </patternFill>
    </fill>
    <fill>
      <patternFill patternType="solid">
        <fgColor rgb="FF7030A0"/>
        <bgColor indexed="64"/>
      </patternFill>
    </fill>
    <fill>
      <patternFill patternType="solid">
        <fgColor rgb="FF016DB6"/>
        <bgColor indexed="64"/>
      </patternFill>
    </fill>
    <fill>
      <patternFill patternType="solid">
        <fgColor theme="5"/>
        <bgColor indexed="64"/>
      </patternFill>
    </fill>
    <fill>
      <patternFill patternType="solid">
        <fgColor theme="7"/>
        <bgColor indexed="64"/>
      </patternFill>
    </fill>
    <fill>
      <patternFill patternType="solid">
        <fgColor rgb="FF82CCFE"/>
        <bgColor indexed="64"/>
      </patternFill>
    </fill>
    <fill>
      <patternFill patternType="solid">
        <fgColor rgb="FFD890CA"/>
        <bgColor indexed="64"/>
      </patternFill>
    </fill>
    <fill>
      <patternFill patternType="solid">
        <fgColor rgb="FFFFFF00"/>
        <bgColor indexed="64"/>
      </patternFill>
    </fill>
    <fill>
      <patternFill patternType="solid">
        <fgColor theme="5" tint="-0.49998474074526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rgb="FFFA6F6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C00000"/>
        <bgColor indexed="64"/>
      </patternFill>
    </fill>
    <fill>
      <patternFill patternType="solid">
        <fgColor rgb="FFEE7370"/>
        <bgColor indexed="64"/>
      </patternFill>
    </fill>
    <fill>
      <patternFill patternType="solid">
        <fgColor rgb="FFFF0000"/>
        <bgColor indexed="64"/>
      </patternFill>
    </fill>
    <fill>
      <patternFill patternType="solid">
        <fgColor theme="1"/>
        <bgColor indexed="64"/>
      </patternFill>
    </fill>
    <fill>
      <patternFill patternType="solid">
        <fgColor theme="7" tint="-0.249977111117893"/>
        <bgColor indexed="64"/>
      </patternFill>
    </fill>
    <fill>
      <patternFill patternType="solid">
        <fgColor rgb="FF22D8C2"/>
        <bgColor indexed="64"/>
      </patternFill>
    </fill>
  </fills>
  <borders count="15">
    <border>
      <left/>
      <right/>
      <top/>
      <bottom/>
      <diagonal/>
    </border>
    <border>
      <left style="thin">
        <color rgb="FF7F7F7F"/>
      </left>
      <right style="thin">
        <color rgb="FF7F7F7F"/>
      </right>
      <top style="thin">
        <color rgb="FF7F7F7F"/>
      </top>
      <bottom style="thin">
        <color rgb="FF7F7F7F"/>
      </bottom>
      <diagonal/>
    </border>
    <border>
      <left style="thick">
        <color rgb="FF7030A0"/>
      </left>
      <right style="thick">
        <color rgb="FF7030A0"/>
      </right>
      <top style="thick">
        <color rgb="FF7030A0"/>
      </top>
      <bottom style="thick">
        <color rgb="FF7030A0"/>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right/>
      <top/>
      <bottom style="thin">
        <color rgb="FF000000"/>
      </bottom>
      <diagonal/>
    </border>
    <border>
      <left style="thin">
        <color theme="0"/>
      </left>
      <right style="thin">
        <color theme="0"/>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rgb="FF7F7F7F"/>
      </right>
      <top style="thin">
        <color rgb="FF7F7F7F"/>
      </top>
      <bottom style="thin">
        <color rgb="FF7F7F7F"/>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1" applyNumberFormat="0" applyAlignment="0" applyProtection="0"/>
    <xf numFmtId="0" fontId="2" fillId="0" borderId="0" applyNumberFormat="0" applyFill="0" applyBorder="0" applyAlignment="0" applyProtection="0"/>
  </cellStyleXfs>
  <cellXfs count="113">
    <xf numFmtId="0" fontId="0" fillId="0" borderId="0" xfId="0"/>
    <xf numFmtId="0" fontId="4" fillId="3" borderId="0" xfId="0" applyFont="1" applyFill="1" applyAlignment="1">
      <alignment horizontal="center" vertical="center" wrapText="1"/>
    </xf>
    <xf numFmtId="0" fontId="5" fillId="3" borderId="0" xfId="0" applyFont="1" applyFill="1" applyAlignment="1">
      <alignment vertical="center" wrapText="1"/>
    </xf>
    <xf numFmtId="0" fontId="7" fillId="3" borderId="0" xfId="0" applyFont="1" applyFill="1" applyAlignment="1">
      <alignment vertical="center" wrapText="1"/>
    </xf>
    <xf numFmtId="0" fontId="5" fillId="3" borderId="0" xfId="0" applyFont="1" applyFill="1" applyAlignment="1">
      <alignment vertical="center"/>
    </xf>
    <xf numFmtId="0" fontId="0" fillId="0" borderId="0" xfId="0" applyAlignment="1">
      <alignment vertical="center"/>
    </xf>
    <xf numFmtId="49" fontId="5" fillId="3" borderId="0" xfId="0" applyNumberFormat="1" applyFont="1" applyFill="1" applyAlignment="1">
      <alignment vertical="center"/>
    </xf>
    <xf numFmtId="0" fontId="3" fillId="0" borderId="0" xfId="0" applyFont="1" applyAlignment="1">
      <alignment horizontal="center" vertical="center"/>
    </xf>
    <xf numFmtId="0" fontId="10" fillId="0" borderId="0" xfId="0" applyFont="1" applyAlignment="1">
      <alignment horizontal="center" vertical="center"/>
    </xf>
    <xf numFmtId="0" fontId="3" fillId="0" borderId="0" xfId="0" applyFont="1" applyAlignment="1" applyProtection="1">
      <alignment horizontal="center" vertical="center"/>
      <protection locked="0"/>
    </xf>
    <xf numFmtId="0" fontId="11" fillId="0" borderId="0" xfId="0" applyFont="1" applyAlignment="1">
      <alignment horizontal="center" vertical="center"/>
    </xf>
    <xf numFmtId="0" fontId="2" fillId="0" borderId="0" xfId="2" applyAlignment="1">
      <alignment horizontal="center" vertical="center" wrapText="1"/>
    </xf>
    <xf numFmtId="0" fontId="10" fillId="0" borderId="0" xfId="0" applyFont="1" applyAlignment="1" applyProtection="1">
      <alignment horizontal="center" vertical="center"/>
      <protection locked="0"/>
    </xf>
    <xf numFmtId="0" fontId="2" fillId="0" borderId="0" xfId="2" applyAlignment="1">
      <alignment horizontal="center" vertical="center"/>
    </xf>
    <xf numFmtId="0" fontId="3" fillId="0" borderId="0" xfId="0" applyFont="1" applyAlignment="1">
      <alignment horizontal="center" vertical="center" wrapText="1"/>
    </xf>
    <xf numFmtId="0" fontId="10" fillId="0" borderId="0" xfId="0" applyFont="1" applyAlignment="1" applyProtection="1">
      <alignment horizontal="left" vertical="center" wrapText="1"/>
      <protection locked="0"/>
    </xf>
    <xf numFmtId="0" fontId="14" fillId="0" borderId="0" xfId="0" applyFont="1"/>
    <xf numFmtId="0" fontId="15" fillId="9" borderId="0" xfId="0" applyFont="1" applyFill="1" applyAlignment="1">
      <alignment horizontal="center" vertical="center" textRotation="90"/>
    </xf>
    <xf numFmtId="1" fontId="16" fillId="6" borderId="0" xfId="0" applyNumberFormat="1" applyFont="1" applyFill="1" applyAlignment="1">
      <alignment horizontal="center" vertical="center" textRotation="90"/>
    </xf>
    <xf numFmtId="0" fontId="16" fillId="6" borderId="0" xfId="0" applyFont="1" applyFill="1" applyAlignment="1">
      <alignment horizontal="center" vertical="center" textRotation="90"/>
    </xf>
    <xf numFmtId="0" fontId="10" fillId="0" borderId="0" xfId="0" applyFont="1" applyAlignment="1">
      <alignment horizontal="left" vertical="center"/>
    </xf>
    <xf numFmtId="0" fontId="12" fillId="0" borderId="0" xfId="0" applyFont="1" applyAlignment="1">
      <alignment horizontal="center" vertical="center"/>
    </xf>
    <xf numFmtId="0" fontId="0" fillId="0" borderId="0" xfId="0" applyProtection="1">
      <protection locked="0"/>
    </xf>
    <xf numFmtId="0" fontId="17" fillId="6" borderId="3" xfId="0" applyFont="1" applyFill="1" applyBorder="1" applyAlignment="1">
      <alignment horizontal="center" vertical="center" wrapText="1"/>
    </xf>
    <xf numFmtId="1" fontId="18" fillId="5" borderId="3" xfId="0" applyNumberFormat="1" applyFont="1" applyFill="1" applyBorder="1" applyAlignment="1">
      <alignment horizontal="center" vertical="center" wrapText="1"/>
    </xf>
    <xf numFmtId="0" fontId="18" fillId="5" borderId="3" xfId="0" applyFont="1" applyFill="1" applyBorder="1" applyAlignment="1">
      <alignment horizontal="center" vertical="center" wrapText="1"/>
    </xf>
    <xf numFmtId="0" fontId="18" fillId="7" borderId="3" xfId="0" applyFont="1" applyFill="1" applyBorder="1" applyAlignment="1">
      <alignment horizontal="center" vertical="center" textRotation="90" wrapText="1"/>
    </xf>
    <xf numFmtId="0" fontId="21" fillId="0" borderId="0" xfId="0" applyFont="1" applyAlignment="1">
      <alignment horizontal="left" vertical="center"/>
    </xf>
    <xf numFmtId="1" fontId="21" fillId="0" borderId="0" xfId="0" applyNumberFormat="1" applyFont="1" applyAlignment="1">
      <alignment horizontal="center" vertical="center"/>
    </xf>
    <xf numFmtId="1" fontId="0" fillId="0" borderId="0" xfId="0" applyNumberFormat="1" applyAlignment="1">
      <alignment horizontal="center" vertical="center"/>
    </xf>
    <xf numFmtId="164" fontId="22" fillId="0" borderId="0" xfId="0" applyNumberFormat="1" applyFont="1" applyAlignment="1">
      <alignment horizontal="center" vertical="center"/>
    </xf>
    <xf numFmtId="0" fontId="21" fillId="0" borderId="0" xfId="0" applyFont="1" applyAlignment="1" applyProtection="1">
      <alignment horizontal="center" vertical="center"/>
      <protection locked="0"/>
    </xf>
    <xf numFmtId="164" fontId="21" fillId="0" borderId="0" xfId="0" applyNumberFormat="1" applyFont="1" applyAlignment="1" applyProtection="1">
      <alignment horizontal="center" vertical="center"/>
      <protection locked="0"/>
    </xf>
    <xf numFmtId="164" fontId="21" fillId="0" borderId="0" xfId="0" applyNumberFormat="1" applyFont="1" applyAlignment="1">
      <alignment horizontal="center" vertical="center"/>
    </xf>
    <xf numFmtId="165" fontId="12" fillId="0" borderId="0" xfId="0" applyNumberFormat="1" applyFont="1" applyAlignment="1">
      <alignment horizontal="center" vertical="center"/>
    </xf>
    <xf numFmtId="164" fontId="23" fillId="0" borderId="0" xfId="0" applyNumberFormat="1" applyFont="1" applyAlignment="1" applyProtection="1">
      <alignment horizontal="center" vertical="center"/>
      <protection locked="0"/>
    </xf>
    <xf numFmtId="1" fontId="12" fillId="0" borderId="0" xfId="0" applyNumberFormat="1" applyFont="1" applyAlignment="1">
      <alignment horizontal="center" vertical="center"/>
    </xf>
    <xf numFmtId="0" fontId="3" fillId="11" borderId="2" xfId="0" applyFont="1" applyFill="1" applyBorder="1" applyAlignment="1" applyProtection="1">
      <alignment horizontal="center" vertical="center"/>
      <protection locked="0"/>
    </xf>
    <xf numFmtId="0" fontId="3" fillId="0" borderId="8" xfId="0" applyFont="1" applyBorder="1" applyAlignment="1">
      <alignment horizontal="center" vertical="center"/>
    </xf>
    <xf numFmtId="0" fontId="1" fillId="12" borderId="3" xfId="1" applyFill="1" applyBorder="1"/>
    <xf numFmtId="0" fontId="2" fillId="13" borderId="3" xfId="2" applyFill="1" applyBorder="1"/>
    <xf numFmtId="0" fontId="0" fillId="14" borderId="0" xfId="0" applyFill="1"/>
    <xf numFmtId="0" fontId="15" fillId="15" borderId="6" xfId="0" applyFont="1" applyFill="1" applyBorder="1" applyAlignment="1">
      <alignment horizontal="center" vertical="center" wrapText="1"/>
    </xf>
    <xf numFmtId="0" fontId="15" fillId="15" borderId="6" xfId="0" applyFont="1" applyFill="1" applyBorder="1" applyAlignment="1">
      <alignment horizontal="center" vertical="center"/>
    </xf>
    <xf numFmtId="0" fontId="15" fillId="16" borderId="6" xfId="0" applyFont="1" applyFill="1" applyBorder="1" applyAlignment="1">
      <alignment horizontal="center" vertical="center" wrapText="1"/>
    </xf>
    <xf numFmtId="0" fontId="15" fillId="16" borderId="6" xfId="0" applyFont="1" applyFill="1" applyBorder="1" applyAlignment="1">
      <alignment horizontal="center" vertical="center"/>
    </xf>
    <xf numFmtId="0" fontId="15" fillId="15" borderId="5" xfId="0" applyFont="1" applyFill="1" applyBorder="1" applyAlignment="1">
      <alignment horizontal="center" vertical="center" textRotation="90"/>
    </xf>
    <xf numFmtId="0" fontId="15" fillId="16" borderId="5" xfId="0" applyFont="1" applyFill="1" applyBorder="1" applyAlignment="1">
      <alignment horizontal="center" vertical="center" textRotation="90"/>
    </xf>
    <xf numFmtId="0" fontId="0" fillId="0" borderId="7" xfId="0" applyBorder="1"/>
    <xf numFmtId="0" fontId="10" fillId="0" borderId="7" xfId="0" applyFont="1" applyBorder="1" applyAlignment="1">
      <alignment horizontal="center" vertical="center"/>
    </xf>
    <xf numFmtId="0" fontId="12" fillId="0" borderId="0" xfId="0" applyFont="1" applyAlignment="1">
      <alignment horizontal="center"/>
    </xf>
    <xf numFmtId="0" fontId="0" fillId="0" borderId="0" xfId="0" applyAlignment="1">
      <alignment horizontal="center"/>
    </xf>
    <xf numFmtId="0" fontId="15" fillId="9" borderId="0" xfId="0" applyFont="1" applyFill="1" applyAlignment="1">
      <alignment horizontal="center" vertical="center" textRotation="90" wrapText="1"/>
    </xf>
    <xf numFmtId="166" fontId="10" fillId="0" borderId="0" xfId="0" applyNumberFormat="1" applyFont="1" applyAlignment="1">
      <alignment horizontal="center" vertical="center"/>
    </xf>
    <xf numFmtId="166" fontId="0" fillId="14" borderId="0" xfId="0" applyNumberFormat="1" applyFill="1"/>
    <xf numFmtId="0" fontId="30" fillId="7" borderId="3" xfId="0" applyFont="1" applyFill="1" applyBorder="1" applyAlignment="1">
      <alignment horizontal="center" vertical="center" textRotation="90" wrapText="1"/>
    </xf>
    <xf numFmtId="164" fontId="22" fillId="17" borderId="0" xfId="0" applyNumberFormat="1" applyFont="1" applyFill="1" applyAlignment="1">
      <alignment horizontal="center" vertical="center"/>
    </xf>
    <xf numFmtId="164" fontId="22" fillId="3" borderId="0" xfId="0" applyNumberFormat="1" applyFont="1" applyFill="1" applyAlignment="1">
      <alignment horizontal="center" vertical="center"/>
    </xf>
    <xf numFmtId="0" fontId="0" fillId="3" borderId="0" xfId="0" applyFill="1"/>
    <xf numFmtId="1" fontId="21" fillId="17" borderId="0" xfId="0" applyNumberFormat="1" applyFont="1" applyFill="1" applyAlignment="1">
      <alignment horizontal="center" vertical="center"/>
    </xf>
    <xf numFmtId="1" fontId="21" fillId="3" borderId="0" xfId="0" applyNumberFormat="1" applyFont="1" applyFill="1" applyAlignment="1">
      <alignment horizontal="center" vertical="center"/>
    </xf>
    <xf numFmtId="0" fontId="31" fillId="3" borderId="0" xfId="0" applyFont="1" applyFill="1" applyAlignment="1">
      <alignment horizontal="center" vertical="center" textRotation="90"/>
    </xf>
    <xf numFmtId="0" fontId="16" fillId="3" borderId="0" xfId="0" applyFont="1" applyFill="1" applyAlignment="1">
      <alignment horizontal="center" vertical="center" textRotation="90"/>
    </xf>
    <xf numFmtId="0" fontId="16" fillId="3" borderId="0" xfId="0" applyFont="1" applyFill="1" applyAlignment="1">
      <alignment horizontal="center" vertical="center" textRotation="90" wrapText="1"/>
    </xf>
    <xf numFmtId="0" fontId="16" fillId="7" borderId="0" xfId="0" applyFont="1" applyFill="1" applyAlignment="1">
      <alignment horizontal="center" vertical="center" textRotation="90"/>
    </xf>
    <xf numFmtId="0" fontId="15" fillId="18" borderId="0" xfId="0" applyFont="1" applyFill="1" applyAlignment="1">
      <alignment horizontal="center" vertical="center"/>
    </xf>
    <xf numFmtId="0" fontId="32" fillId="0" borderId="0" xfId="0" applyFont="1" applyAlignment="1">
      <alignment horizontal="center" vertical="center"/>
    </xf>
    <xf numFmtId="0" fontId="15" fillId="18" borderId="0" xfId="0" applyFont="1" applyFill="1" applyAlignment="1">
      <alignment horizontal="center" vertical="center" wrapText="1"/>
    </xf>
    <xf numFmtId="0" fontId="15" fillId="8" borderId="0" xfId="0" applyFont="1" applyFill="1" applyAlignment="1">
      <alignment horizontal="center" vertical="center" textRotation="90"/>
    </xf>
    <xf numFmtId="0" fontId="15" fillId="14" borderId="0" xfId="0" applyFont="1" applyFill="1" applyAlignment="1">
      <alignment horizontal="center" vertical="center" textRotation="90" wrapText="1"/>
    </xf>
    <xf numFmtId="0" fontId="15" fillId="18" borderId="6" xfId="0" applyFont="1" applyFill="1" applyBorder="1" applyAlignment="1">
      <alignment horizontal="center" vertical="center" wrapText="1"/>
    </xf>
    <xf numFmtId="0" fontId="15" fillId="18" borderId="6" xfId="0" applyFont="1" applyFill="1" applyBorder="1" applyAlignment="1">
      <alignment horizontal="center" vertical="center"/>
    </xf>
    <xf numFmtId="0" fontId="18" fillId="19" borderId="5" xfId="0" applyFont="1" applyFill="1" applyBorder="1" applyAlignment="1">
      <alignment horizontal="center" vertical="center" textRotation="90"/>
    </xf>
    <xf numFmtId="0" fontId="16" fillId="20" borderId="5" xfId="0" applyFont="1" applyFill="1" applyBorder="1" applyAlignment="1">
      <alignment horizontal="center" vertical="center" textRotation="90"/>
    </xf>
    <xf numFmtId="0" fontId="18" fillId="21" borderId="5" xfId="0" applyFont="1" applyFill="1" applyBorder="1" applyAlignment="1">
      <alignment horizontal="center" vertical="center" textRotation="90" wrapText="1"/>
    </xf>
    <xf numFmtId="0" fontId="18" fillId="21" borderId="5" xfId="0" applyFont="1" applyFill="1" applyBorder="1" applyAlignment="1">
      <alignment horizontal="center" vertical="center" textRotation="90"/>
    </xf>
    <xf numFmtId="0" fontId="18" fillId="21" borderId="0" xfId="0" applyFont="1" applyFill="1" applyAlignment="1">
      <alignment horizontal="center" vertical="center" textRotation="90"/>
    </xf>
    <xf numFmtId="0" fontId="15" fillId="18" borderId="3" xfId="0" applyFont="1" applyFill="1" applyBorder="1" applyAlignment="1">
      <alignment horizontal="center" vertical="center" wrapText="1"/>
    </xf>
    <xf numFmtId="0" fontId="17" fillId="20" borderId="3" xfId="0" applyFont="1" applyFill="1" applyBorder="1" applyAlignment="1">
      <alignment horizontal="center" vertical="center" wrapText="1"/>
    </xf>
    <xf numFmtId="0" fontId="17" fillId="22" borderId="3" xfId="0" applyFont="1" applyFill="1" applyBorder="1" applyAlignment="1">
      <alignment horizontal="center" vertical="center" wrapText="1"/>
    </xf>
    <xf numFmtId="0" fontId="33" fillId="8" borderId="3" xfId="0" applyFont="1" applyFill="1" applyBorder="1" applyAlignment="1">
      <alignment horizontal="center" vertical="center" wrapText="1"/>
    </xf>
    <xf numFmtId="0" fontId="1" fillId="2" borderId="9" xfId="1" applyBorder="1" applyAlignment="1">
      <alignment horizontal="center" vertical="center"/>
    </xf>
    <xf numFmtId="0" fontId="3" fillId="0" borderId="10" xfId="0" applyFont="1" applyBorder="1" applyAlignment="1">
      <alignment horizontal="center" vertical="center"/>
    </xf>
    <xf numFmtId="0" fontId="2" fillId="13" borderId="3" xfId="2" applyFill="1" applyBorder="1" applyProtection="1">
      <protection locked="0"/>
    </xf>
    <xf numFmtId="0" fontId="2" fillId="0" borderId="0" xfId="2" applyAlignment="1" applyProtection="1">
      <alignment horizontal="center" vertical="center"/>
      <protection locked="0"/>
    </xf>
    <xf numFmtId="0" fontId="19" fillId="0" borderId="0" xfId="0" applyFont="1" applyAlignment="1" applyProtection="1">
      <alignment horizontal="center" vertical="center"/>
      <protection locked="0"/>
    </xf>
    <xf numFmtId="0" fontId="15" fillId="23" borderId="3" xfId="0" applyFont="1" applyFill="1" applyBorder="1" applyAlignment="1" applyProtection="1">
      <alignment horizontal="center" vertical="center" textRotation="90" wrapText="1"/>
      <protection locked="0"/>
    </xf>
    <xf numFmtId="0" fontId="15" fillId="8" borderId="3" xfId="0" applyFont="1" applyFill="1" applyBorder="1" applyAlignment="1" applyProtection="1">
      <alignment horizontal="center" vertical="center" textRotation="90" wrapText="1"/>
      <protection locked="0"/>
    </xf>
    <xf numFmtId="2" fontId="20" fillId="10" borderId="3" xfId="0" applyNumberFormat="1" applyFont="1" applyFill="1" applyBorder="1" applyAlignment="1" applyProtection="1">
      <alignment horizontal="center" vertical="center" textRotation="90" wrapText="1"/>
      <protection locked="0"/>
    </xf>
    <xf numFmtId="0" fontId="20" fillId="10" borderId="3" xfId="0" applyFont="1" applyFill="1" applyBorder="1" applyAlignment="1" applyProtection="1">
      <alignment horizontal="center" vertical="center" textRotation="90" wrapText="1"/>
      <protection locked="0"/>
    </xf>
    <xf numFmtId="0" fontId="15" fillId="0" borderId="4" xfId="0" applyFont="1" applyBorder="1" applyAlignment="1" applyProtection="1">
      <alignment horizontal="center" vertical="center" wrapText="1"/>
      <protection locked="0"/>
    </xf>
    <xf numFmtId="1" fontId="21" fillId="0" borderId="0" xfId="0" applyNumberFormat="1" applyFont="1" applyAlignment="1" applyProtection="1">
      <alignment horizontal="center" vertical="center"/>
      <protection locked="0"/>
    </xf>
    <xf numFmtId="2" fontId="21" fillId="0" borderId="0" xfId="0" applyNumberFormat="1" applyFont="1" applyAlignment="1" applyProtection="1">
      <alignment horizontal="center" vertical="center"/>
      <protection locked="0"/>
    </xf>
    <xf numFmtId="0" fontId="22" fillId="0" borderId="0" xfId="0" applyFont="1" applyAlignment="1" applyProtection="1">
      <alignment horizontal="center" vertical="center"/>
      <protection locked="0"/>
    </xf>
    <xf numFmtId="0" fontId="17" fillId="22" borderId="3" xfId="0" applyFont="1" applyFill="1" applyBorder="1" applyAlignment="1">
      <alignment horizontal="center" vertical="center" textRotation="90" wrapText="1"/>
    </xf>
    <xf numFmtId="0" fontId="17" fillId="6" borderId="3" xfId="0" applyFont="1" applyFill="1" applyBorder="1" applyAlignment="1">
      <alignment horizontal="center" vertical="center" textRotation="90" wrapText="1"/>
    </xf>
    <xf numFmtId="0" fontId="33" fillId="8" borderId="3" xfId="0" applyFont="1" applyFill="1" applyBorder="1" applyAlignment="1">
      <alignment horizontal="center" vertical="center" textRotation="90" wrapText="1"/>
    </xf>
    <xf numFmtId="0" fontId="3" fillId="24" borderId="11" xfId="0" applyFont="1" applyFill="1" applyBorder="1" applyAlignment="1" applyProtection="1">
      <alignment horizontal="center" vertical="center" wrapText="1"/>
      <protection locked="0"/>
    </xf>
    <xf numFmtId="0" fontId="26" fillId="4" borderId="0" xfId="0" applyFont="1" applyFill="1" applyAlignment="1">
      <alignment horizontal="center" vertical="center"/>
    </xf>
    <xf numFmtId="0" fontId="9" fillId="4" borderId="0" xfId="0" applyFont="1" applyFill="1" applyAlignment="1">
      <alignment horizontal="center" vertical="center"/>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36" fillId="0" borderId="4" xfId="0" applyFont="1" applyBorder="1" applyAlignment="1">
      <alignment horizontal="left" vertical="center" wrapText="1"/>
    </xf>
    <xf numFmtId="0" fontId="36" fillId="0" borderId="4" xfId="0" applyFont="1" applyBorder="1" applyAlignment="1">
      <alignment horizontal="left" wrapText="1"/>
    </xf>
    <xf numFmtId="0" fontId="35" fillId="0" borderId="4" xfId="0" applyFont="1" applyBorder="1" applyAlignment="1">
      <alignment horizontal="left" vertical="center" wrapText="1"/>
    </xf>
    <xf numFmtId="0" fontId="4" fillId="3" borderId="0" xfId="0" applyFont="1" applyFill="1" applyAlignment="1">
      <alignment horizontal="center" vertical="center" wrapText="1"/>
    </xf>
    <xf numFmtId="0" fontId="5" fillId="3" borderId="0" xfId="0" applyFont="1" applyFill="1" applyAlignment="1">
      <alignment vertical="center" wrapText="1"/>
    </xf>
    <xf numFmtId="0" fontId="7" fillId="3" borderId="0" xfId="0" applyFont="1" applyFill="1" applyAlignment="1">
      <alignment vertical="center" wrapText="1"/>
    </xf>
    <xf numFmtId="0" fontId="35" fillId="3" borderId="0" xfId="0" applyFont="1" applyFill="1" applyAlignment="1">
      <alignment vertical="center" wrapText="1"/>
    </xf>
    <xf numFmtId="0" fontId="5" fillId="13" borderId="0" xfId="0" applyFont="1" applyFill="1" applyAlignment="1">
      <alignment vertical="center" wrapText="1"/>
    </xf>
    <xf numFmtId="0" fontId="19" fillId="0" borderId="0" xfId="0" applyFont="1" applyAlignment="1" applyProtection="1">
      <alignment horizontal="center" vertical="center"/>
      <protection locked="0"/>
    </xf>
    <xf numFmtId="0" fontId="19" fillId="0" borderId="0" xfId="0" applyFont="1" applyAlignment="1">
      <alignment horizontal="center" vertical="center"/>
    </xf>
  </cellXfs>
  <cellStyles count="3">
    <cellStyle name="Calculation" xfId="1" builtinId="22"/>
    <cellStyle name="Explanatory Text" xfId="2" builtinId="53"/>
    <cellStyle name="Normal" xfId="0" builtinId="0"/>
  </cellStyles>
  <dxfs count="130">
    <dxf>
      <fill>
        <patternFill>
          <bgColor theme="5"/>
        </patternFill>
      </fill>
    </dxf>
    <dxf>
      <font>
        <b/>
        <i val="0"/>
        <color theme="2"/>
      </font>
      <fill>
        <patternFill>
          <bgColor rgb="FFC0B24C"/>
        </patternFill>
      </fill>
    </dxf>
    <dxf>
      <font>
        <b/>
        <i val="0"/>
      </font>
      <fill>
        <patternFill>
          <bgColor theme="2" tint="-9.9948118533890809E-2"/>
        </patternFill>
      </fill>
    </dxf>
    <dxf>
      <font>
        <b/>
        <i val="0"/>
        <color theme="2"/>
      </font>
      <fill>
        <patternFill>
          <bgColor rgb="FFA27800"/>
        </patternFill>
      </fill>
      <border>
        <left style="thin">
          <color auto="1"/>
        </left>
        <right style="thin">
          <color auto="1"/>
        </right>
        <top style="thin">
          <color auto="1"/>
        </top>
        <bottom style="thin">
          <color auto="1"/>
        </bottom>
      </border>
    </dxf>
    <dxf>
      <font>
        <b/>
        <i val="0"/>
        <strike val="0"/>
        <color theme="9" tint="0.79995117038483843"/>
      </font>
      <fill>
        <patternFill>
          <bgColor theme="9" tint="-0.24994659260841701"/>
        </patternFill>
      </fill>
    </dxf>
    <dxf>
      <fill>
        <patternFill>
          <bgColor rgb="FF00B0F0"/>
        </patternFill>
      </fill>
    </dxf>
    <dxf>
      <fill>
        <patternFill patternType="darkHorizontal">
          <fgColor theme="0"/>
          <bgColor rgb="FFFFC000"/>
        </patternFill>
      </fill>
    </dxf>
    <dxf>
      <fill>
        <patternFill>
          <bgColor theme="5"/>
        </patternFill>
      </fill>
    </dxf>
    <dxf>
      <font>
        <b/>
        <i/>
        <color theme="0"/>
      </font>
      <fill>
        <patternFill>
          <bgColor rgb="FFC9B037"/>
        </patternFill>
      </fill>
    </dxf>
    <dxf>
      <font>
        <b/>
        <i/>
        <color theme="1"/>
      </font>
      <fill>
        <patternFill>
          <bgColor rgb="FFD7D7D7"/>
        </patternFill>
      </fill>
    </dxf>
    <dxf>
      <font>
        <b/>
        <i/>
        <color theme="0"/>
      </font>
      <fill>
        <patternFill patternType="solid">
          <fgColor auto="1"/>
          <bgColor rgb="FFAD8A56"/>
        </patternFill>
      </fill>
      <border>
        <left style="thin">
          <color auto="1"/>
        </left>
        <right style="thin">
          <color auto="1"/>
        </right>
        <top style="thin">
          <color auto="1"/>
        </top>
        <bottom style="thin">
          <color auto="1"/>
        </bottom>
      </border>
    </dxf>
    <dxf>
      <fill>
        <patternFill>
          <bgColor rgb="FFFFFF99"/>
        </patternFill>
      </fill>
    </dxf>
    <dxf>
      <font>
        <b/>
        <i/>
        <color theme="0"/>
      </font>
      <fill>
        <patternFill>
          <bgColor rgb="FF00B0F0"/>
        </patternFill>
      </fill>
      <border>
        <left style="thin">
          <color auto="1"/>
        </left>
        <right style="thin">
          <color auto="1"/>
        </right>
        <top style="thin">
          <color auto="1"/>
        </top>
        <bottom style="thin">
          <color auto="1"/>
        </bottom>
        <vertical/>
        <horizontal/>
      </border>
    </dxf>
    <dxf>
      <font>
        <b/>
        <strike val="0"/>
        <outline val="0"/>
        <shadow val="0"/>
        <u val="none"/>
        <vertAlign val="baseline"/>
        <sz val="12"/>
        <color rgb="FF000000"/>
        <name val="Calibri"/>
        <scheme val="none"/>
      </font>
      <numFmt numFmtId="164" formatCode=";;;"/>
      <fill>
        <patternFill patternType="none">
          <fgColor indexed="64"/>
          <bgColor auto="1"/>
        </patternFill>
      </fill>
      <alignment horizontal="center" vertical="center" textRotation="0" wrapText="0" indent="0" justifyLastLine="0" shrinkToFit="0" readingOrder="0"/>
      <protection locked="0" hidden="0"/>
    </dxf>
    <dxf>
      <font>
        <b/>
        <strike val="0"/>
        <outline val="0"/>
        <shadow val="0"/>
        <u val="none"/>
        <vertAlign val="baseline"/>
        <sz val="12"/>
        <color rgb="FF000000"/>
        <name val="Calibri"/>
        <scheme val="none"/>
      </font>
      <numFmt numFmtId="164" formatCode=";;;"/>
      <fill>
        <patternFill patternType="none">
          <fgColor indexed="64"/>
          <bgColor auto="1"/>
        </patternFill>
      </fill>
      <alignment horizontal="center" vertical="center" textRotation="0" wrapText="0" indent="0" justifyLastLine="0" shrinkToFit="0" readingOrder="0"/>
      <protection locked="0" hidden="0"/>
    </dxf>
    <dxf>
      <font>
        <b/>
        <strike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strike val="0"/>
        <outline val="0"/>
        <shadow val="0"/>
        <u val="none"/>
        <vertAlign val="baseline"/>
        <sz val="12"/>
        <color theme="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theme="1"/>
        <name val="Calibri"/>
        <family val="2"/>
        <scheme val="minor"/>
      </font>
      <fill>
        <patternFill>
          <fgColor indexed="64"/>
          <bgColor theme="7" tint="0.3999755851924192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i/>
        <strike val="0"/>
        <outline val="0"/>
        <shadow val="0"/>
        <u val="none"/>
        <vertAlign val="baseline"/>
        <sz val="12"/>
        <color theme="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strike val="0"/>
        <condense val="0"/>
        <extend val="0"/>
        <outline val="0"/>
        <shadow val="0"/>
        <u val="none"/>
        <vertAlign val="baseline"/>
        <sz val="12"/>
        <color theme="1"/>
        <name val="Calibri"/>
        <family val="2"/>
        <scheme val="minor"/>
      </font>
      <numFmt numFmtId="0" formatCode="General"/>
      <fill>
        <patternFill patternType="none">
          <fgColor indexed="64"/>
          <bgColor theme="7" tint="0.39997558519241921"/>
        </patternFill>
      </fill>
      <alignment horizontal="center" vertical="center" textRotation="0" wrapText="0" indent="0" justifyLastLine="0" shrinkToFit="0" readingOrder="0"/>
      <protection locked="1" hidden="0"/>
    </dxf>
    <dxf>
      <font>
        <b val="0"/>
        <i/>
        <strike val="0"/>
        <condense val="0"/>
        <extend val="0"/>
        <outline val="0"/>
        <shadow val="0"/>
        <u val="none"/>
        <vertAlign val="baseline"/>
        <sz val="12"/>
        <color theme="1"/>
        <name val="Calibri"/>
        <family val="2"/>
        <scheme val="minor"/>
      </font>
      <numFmt numFmtId="0" formatCode="General"/>
      <fill>
        <patternFill patternType="none">
          <fgColor indexed="64"/>
          <bgColor theme="7" tint="0.39997558519241921"/>
        </patternFill>
      </fill>
      <alignment horizontal="center" vertical="center" textRotation="0" wrapText="0" indent="0" justifyLastLine="0" shrinkToFit="0" readingOrder="0"/>
      <protection locked="1" hidden="0"/>
    </dxf>
    <dxf>
      <font>
        <b val="0"/>
        <i/>
        <strike val="0"/>
        <condense val="0"/>
        <extend val="0"/>
        <outline val="0"/>
        <shadow val="0"/>
        <u val="none"/>
        <vertAlign val="baseline"/>
        <sz val="12"/>
        <color theme="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i/>
        <strike val="0"/>
        <outline val="0"/>
        <shadow val="0"/>
        <u val="none"/>
        <vertAlign val="baseline"/>
        <sz val="12"/>
        <color theme="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i/>
        <strike val="0"/>
        <outline val="0"/>
        <shadow val="0"/>
        <u val="none"/>
        <vertAlign val="baseline"/>
        <sz val="12"/>
        <color theme="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i/>
        <strike val="0"/>
        <outline val="0"/>
        <shadow val="0"/>
        <u val="none"/>
        <vertAlign val="baseline"/>
        <sz val="12"/>
        <color theme="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i/>
        <strike val="0"/>
        <outline val="0"/>
        <shadow val="0"/>
        <u val="none"/>
        <vertAlign val="baseline"/>
        <sz val="12"/>
        <color theme="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12"/>
        <color theme="1"/>
        <name val="Calibri"/>
        <scheme val="minor"/>
      </font>
      <numFmt numFmtId="0" formatCode="General"/>
      <fill>
        <patternFill patternType="none">
          <fgColor indexed="64"/>
          <bgColor auto="1"/>
        </patternFill>
      </fill>
      <alignment horizontal="left" vertical="center" textRotation="0" wrapText="0" indent="0" justifyLastLine="0" shrinkToFit="0" readingOrder="0"/>
      <protection locked="1" hidden="0"/>
    </dxf>
    <dxf>
      <font>
        <strike val="0"/>
        <outline val="0"/>
        <shadow val="0"/>
        <u val="none"/>
        <vertAlign val="baseline"/>
        <sz val="12"/>
        <color theme="1"/>
        <name val="Calibri"/>
        <scheme val="minor"/>
      </font>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12"/>
        <color rgb="FF000000"/>
        <name val="Calibri"/>
        <scheme val="none"/>
      </font>
      <fill>
        <patternFill patternType="none">
          <fgColor indexed="64"/>
          <bgColor auto="1"/>
        </patternFill>
      </fill>
      <alignment horizontal="center" vertical="center" textRotation="0" wrapText="0" indent="0" justifyLastLine="0" shrinkToFit="0" readingOrder="0"/>
      <protection locked="0" hidden="0"/>
    </dxf>
    <dxf>
      <font>
        <b/>
        <i val="0"/>
        <strike val="0"/>
        <condense val="0"/>
        <extend val="0"/>
        <outline val="0"/>
        <shadow val="0"/>
        <u val="none"/>
        <vertAlign val="baseline"/>
        <sz val="14"/>
        <color theme="1"/>
        <name val="Calibri"/>
        <scheme val="minor"/>
      </font>
      <fill>
        <patternFill>
          <fgColor indexed="64"/>
          <bgColor theme="0"/>
        </patternFill>
      </fill>
      <alignment horizontal="center" vertical="center" textRotation="90" wrapText="0" indent="0" justifyLastLine="0" shrinkToFit="0" readingOrder="0"/>
      <border diagonalUp="0" diagonalDown="0">
        <left style="thin">
          <color rgb="FFE40613"/>
        </left>
        <right style="thin">
          <color rgb="FFE40613"/>
        </right>
        <top/>
        <bottom/>
        <vertical style="thin">
          <color rgb="FFE40613"/>
        </vertical>
        <horizontal style="thin">
          <color rgb="FFE40613"/>
        </horizontal>
      </border>
      <protection locked="1" hidden="0"/>
    </dxf>
    <dxf>
      <font>
        <b/>
        <i val="0"/>
        <strike val="0"/>
        <condense val="0"/>
        <extend val="0"/>
        <outline val="0"/>
        <shadow val="0"/>
        <u val="none"/>
        <vertAlign val="baseline"/>
        <sz val="12"/>
        <color theme="1"/>
        <name val="Calibri"/>
        <family val="2"/>
        <scheme val="minor"/>
      </font>
      <numFmt numFmtId="0" formatCode="General"/>
      <alignment horizontal="center" indent="0" justifyLastLine="0" shrinkToFit="0" readingOrder="0"/>
    </dxf>
    <dxf>
      <font>
        <b/>
        <strike val="0"/>
        <outline val="0"/>
        <shadow val="0"/>
        <u val="none"/>
        <vertAlign val="baseline"/>
        <sz val="12"/>
        <color theme="1"/>
        <name val="Calibri"/>
        <family val="2"/>
        <scheme val="minor"/>
      </font>
      <numFmt numFmtId="0" formatCode="General"/>
      <alignment horizontal="center" indent="0" justifyLastLine="0" shrinkToFit="0" readingOrder="0"/>
    </dxf>
    <dxf>
      <numFmt numFmtId="0" formatCode="General"/>
    </dxf>
    <dxf>
      <font>
        <b val="0"/>
        <i val="0"/>
        <strike val="0"/>
        <condense val="0"/>
        <extend val="0"/>
        <outline val="0"/>
        <shadow val="0"/>
        <u val="none"/>
        <vertAlign val="baseline"/>
        <sz val="12"/>
        <color theme="1"/>
        <name val="Calibri"/>
        <family val="2"/>
        <scheme val="minor"/>
      </font>
      <numFmt numFmtId="0" formatCode="General"/>
      <alignment horizontal="left" vertical="center" textRotation="0" wrapText="0" indent="0" justifyLastLine="0" shrinkToFit="0" readingOrder="0"/>
    </dxf>
    <dxf>
      <numFmt numFmtId="0" formatCode="General"/>
    </dxf>
    <dxf>
      <font>
        <b val="0"/>
        <i val="0"/>
        <strike val="0"/>
        <condense val="0"/>
        <extend val="0"/>
        <outline val="0"/>
        <shadow val="0"/>
        <u val="none"/>
        <vertAlign val="baseline"/>
        <sz val="12"/>
        <color theme="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numFmt numFmtId="0" formatCode="General"/>
    </dxf>
    <dxf>
      <border outline="0">
        <bottom style="thin">
          <color rgb="FF000000"/>
        </bottom>
      </border>
    </dxf>
    <dxf>
      <font>
        <b/>
        <i val="0"/>
        <strike val="0"/>
        <condense val="0"/>
        <extend val="0"/>
        <outline val="0"/>
        <shadow val="0"/>
        <u val="none"/>
        <vertAlign val="baseline"/>
        <sz val="14"/>
        <color theme="1"/>
        <name val="Calibri"/>
        <family val="2"/>
        <scheme val="minor"/>
      </font>
      <fill>
        <patternFill patternType="solid">
          <fgColor indexed="64"/>
          <bgColor theme="9" tint="0.39997558519241921"/>
        </patternFill>
      </fill>
      <alignment horizontal="center" vertical="center" textRotation="90" wrapText="0" indent="0" justifyLastLine="0" shrinkToFit="0" readingOrder="0"/>
    </dxf>
    <dxf>
      <font>
        <b/>
        <strike val="0"/>
        <outline val="0"/>
        <shadow val="0"/>
        <u val="none"/>
        <vertAlign val="baseline"/>
        <sz val="12"/>
        <color theme="1"/>
        <name val="Calibri"/>
        <family val="2"/>
        <scheme val="minor"/>
      </font>
      <numFmt numFmtId="166" formatCode="0.00;\-0.00;;@"/>
      <fill>
        <patternFill>
          <fgColor indexed="64"/>
          <bgColor theme="7" tint="0.39997558519241921"/>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fgColor indexed="64"/>
          <bgColor theme="7" tint="0.39997558519241921"/>
        </patternFill>
      </fill>
      <alignment horizontal="center" vertical="center" textRotation="0" wrapText="0" indent="0" justifyLastLine="0" shrinkToFit="0" readingOrder="0"/>
    </dxf>
    <dxf>
      <font>
        <strike val="0"/>
        <outline val="0"/>
        <shadow val="0"/>
        <u val="none"/>
        <vertAlign val="baseline"/>
        <sz val="12"/>
        <color theme="1"/>
        <name val="Calibri"/>
        <family val="2"/>
        <scheme val="minor"/>
      </font>
      <alignment horizontal="center" vertical="center" textRotation="0" wrapText="0" indent="0" justifyLastLine="0" shrinkToFit="0" readingOrder="0"/>
    </dxf>
    <dxf>
      <font>
        <strike val="0"/>
        <outline val="0"/>
        <shadow val="0"/>
        <u val="none"/>
        <vertAlign val="baseline"/>
        <sz val="12"/>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numFmt numFmtId="0" formatCode="General"/>
    </dxf>
    <dxf>
      <border outline="0">
        <bottom style="thin">
          <color indexed="64"/>
        </bottom>
      </border>
    </dxf>
    <dxf>
      <font>
        <b/>
        <i val="0"/>
        <strike val="0"/>
        <condense val="0"/>
        <extend val="0"/>
        <outline val="0"/>
        <shadow val="0"/>
        <u val="none"/>
        <vertAlign val="baseline"/>
        <sz val="14"/>
        <color theme="1"/>
        <name val="Calibri"/>
        <family val="2"/>
        <scheme val="minor"/>
      </font>
      <fill>
        <patternFill patternType="solid">
          <fgColor indexed="64"/>
          <bgColor theme="9" tint="0.39997558519241921"/>
        </patternFill>
      </fill>
      <alignment horizontal="center" vertical="center" textRotation="90" wrapText="0" indent="0" justifyLastLine="0" shrinkToFit="0" readingOrder="0"/>
    </dxf>
    <dxf>
      <font>
        <b/>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90" wrapText="0" indent="0" justifyLastLine="0" shrinkToFit="0" readingOrder="0"/>
      <border diagonalUp="0" diagonalDown="0">
        <left style="thin">
          <color rgb="FF92D050"/>
        </left>
        <right style="thin">
          <color rgb="FF92D050"/>
        </right>
        <top/>
        <bottom/>
        <vertical style="thin">
          <color rgb="FF92D050"/>
        </vertical>
        <horizontal style="thin">
          <color rgb="FF92D050"/>
        </horizontal>
      </border>
      <protection locked="1" hidden="0"/>
    </dxf>
    <dxf>
      <font>
        <b/>
        <strike val="0"/>
        <outline val="0"/>
        <shadow val="0"/>
        <u val="none"/>
        <vertAlign val="baseline"/>
        <sz val="12"/>
        <color theme="1"/>
        <name val="Calibri"/>
        <family val="2"/>
        <scheme val="minor"/>
      </font>
      <alignment horizontal="center" vertical="center" textRotation="0" wrapText="0" indent="0" justifyLastLine="0" shrinkToFit="0" readingOrder="0"/>
    </dxf>
    <dxf>
      <font>
        <strike val="0"/>
        <outline val="0"/>
        <shadow val="0"/>
        <u val="none"/>
        <vertAlign val="baseline"/>
        <sz val="12"/>
        <color theme="1"/>
        <name val="Calibri"/>
        <family val="2"/>
        <scheme val="minor"/>
      </font>
      <numFmt numFmtId="0" formatCode="General"/>
      <alignment horizontal="center" vertical="center" textRotation="0" wrapText="0" indent="0" justifyLastLine="0" shrinkToFit="0" readingOrder="0"/>
      <protection locked="0" hidden="0"/>
    </dxf>
    <dxf>
      <protection locked="0" hidden="0"/>
    </dxf>
    <dxf>
      <protection locked="0" hidden="0"/>
    </dxf>
    <dxf>
      <protection locked="0" hidden="0"/>
    </dxf>
    <dxf>
      <protection locked="0" hidden="0"/>
    </dxf>
    <dxf>
      <protection locked="0" hidden="0"/>
    </dxf>
    <dxf>
      <protection locked="0" hidden="0"/>
    </dxf>
    <dxf>
      <fill>
        <patternFill>
          <fgColor indexed="64"/>
          <bgColor theme="7" tint="0.39997558519241921"/>
        </patternFill>
      </fill>
      <protection locked="0" hidden="0"/>
    </dxf>
    <dxf>
      <protection locked="0" hidden="0"/>
    </dxf>
    <dxf>
      <protection locked="0" hidden="0"/>
    </dxf>
    <dxf>
      <protection locked="0" hidden="0"/>
    </dxf>
    <dxf>
      <font>
        <strike val="0"/>
        <outline val="0"/>
        <shadow val="0"/>
        <u val="none"/>
        <vertAlign val="baseline"/>
        <sz val="12"/>
        <color theme="1"/>
        <name val="Calibri"/>
        <family val="2"/>
        <scheme val="minor"/>
      </font>
      <numFmt numFmtId="0" formatCode="General"/>
      <alignment horizontal="left" vertical="center" textRotation="0" wrapText="0" indent="0" justifyLastLine="0" shrinkToFit="0" readingOrder="0"/>
    </dxf>
    <dxf>
      <font>
        <strike val="0"/>
        <outline val="0"/>
        <shadow val="0"/>
        <u val="none"/>
        <vertAlign val="baseline"/>
        <sz val="12"/>
        <color theme="1"/>
        <name val="Calibri"/>
        <family val="2"/>
        <scheme val="minor"/>
      </font>
      <alignment horizontal="center" vertical="center" textRotation="0" wrapText="0" indent="0" justifyLastLine="0" shrinkToFit="0" readingOrder="0"/>
    </dxf>
    <dxf>
      <font>
        <strike val="0"/>
        <outline val="0"/>
        <shadow val="0"/>
        <u val="none"/>
        <vertAlign val="baseline"/>
        <sz val="12"/>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4"/>
        <color theme="1"/>
        <name val="Calibri"/>
        <scheme val="minor"/>
      </font>
      <fill>
        <patternFill>
          <fgColor indexed="64"/>
          <bgColor theme="0"/>
        </patternFill>
      </fill>
      <alignment horizontal="center" vertical="center" textRotation="90" wrapText="0" indent="0" justifyLastLine="0" shrinkToFit="0" readingOrder="0"/>
      <border diagonalUp="0" diagonalDown="0">
        <left style="thin">
          <color theme="4" tint="0.39994506668294322"/>
        </left>
        <right style="thin">
          <color theme="4" tint="0.39994506668294322"/>
        </right>
        <top/>
        <bottom/>
        <vertical style="thin">
          <color theme="4" tint="0.39994506668294322"/>
        </vertical>
        <horizontal style="thin">
          <color theme="4" tint="0.39994506668294322"/>
        </horizontal>
      </border>
      <protection locked="1" hidden="0"/>
    </dxf>
    <dxf>
      <font>
        <b val="0"/>
        <i val="0"/>
        <strike val="0"/>
        <condense val="0"/>
        <extend val="0"/>
        <outline val="0"/>
        <shadow val="0"/>
        <u val="none"/>
        <vertAlign val="baseline"/>
        <sz val="12"/>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numFmt numFmtId="2" formatCode="0.00"/>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numFmt numFmtId="164" formatCode=";;;"/>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numFmt numFmtId="164" formatCode=";;;"/>
      <fill>
        <patternFill patternType="none">
          <fgColor indexed="64"/>
          <bgColor theme="7" tint="0.3999755851924192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64" formatCode=";;;"/>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64" formatCode=";;;"/>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theme="7" tint="0.3999755851924192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theme="7" tint="0.3999755851924192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family val="2"/>
        <scheme val="minor"/>
      </font>
      <numFmt numFmtId="1" formatCode="0"/>
      <fill>
        <patternFill patternType="solid">
          <fgColor indexed="64"/>
          <bgColor theme="7" tint="0.3999755851924192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 formatCode="0"/>
      <fill>
        <patternFill>
          <fgColor indexed="64"/>
          <bgColor theme="7" tint="0.3999755851924192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0" indent="0" justifyLastLine="0" shrinkToFit="0" readingOrder="0"/>
      <protection locked="0" hidden="0"/>
    </dxf>
    <dxf>
      <border>
        <bottom style="thin">
          <color auto="1"/>
        </bottom>
      </border>
    </dxf>
    <dxf>
      <font>
        <b/>
        <i val="0"/>
        <strike val="0"/>
        <condense val="0"/>
        <extend val="0"/>
        <outline val="0"/>
        <shadow val="0"/>
        <u val="none"/>
        <vertAlign val="baseline"/>
        <sz val="14"/>
        <color auto="1"/>
        <name val="Calibri"/>
        <scheme val="minor"/>
      </font>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protection locked="1" hidden="0"/>
    </dxf>
    <dxf>
      <font>
        <strike val="0"/>
        <outline val="0"/>
        <shadow val="0"/>
        <u val="none"/>
        <vertAlign val="baseline"/>
        <sz val="12"/>
        <color theme="1"/>
        <name val="Calibri"/>
        <scheme val="minor"/>
      </font>
      <protection locked="0" hidden="0"/>
    </dxf>
    <dxf>
      <font>
        <strike val="0"/>
        <outline val="0"/>
        <shadow val="0"/>
        <u val="none"/>
        <vertAlign val="baseline"/>
        <sz val="12"/>
        <color theme="1"/>
        <name val="Calibri"/>
        <scheme val="minor"/>
      </font>
      <protection locked="0" hidden="0"/>
    </dxf>
    <dxf>
      <font>
        <strike val="0"/>
        <outline val="0"/>
        <shadow val="0"/>
        <u val="none"/>
        <vertAlign val="baseline"/>
        <sz val="12"/>
        <color theme="1"/>
        <name val="Calibri"/>
        <scheme val="minor"/>
      </font>
      <numFmt numFmtId="0" formatCode="General"/>
      <alignment horizontal="left" vertical="center" textRotation="0" wrapText="1" indent="0" justifyLastLine="0" shrinkToFit="0" readingOrder="0"/>
      <protection locked="0" hidden="0"/>
    </dxf>
    <dxf>
      <font>
        <strike val="0"/>
        <outline val="0"/>
        <shadow val="0"/>
        <u val="none"/>
        <vertAlign val="baseline"/>
        <sz val="12"/>
        <color theme="1"/>
        <name val="Calibri"/>
        <scheme val="minor"/>
      </font>
      <numFmt numFmtId="0" formatCode="General"/>
      <alignment horizontal="center" vertical="center" textRotation="0" wrapText="0" indent="0" justifyLastLine="0" shrinkToFit="0" readingOrder="0"/>
      <protection locked="0" hidden="0"/>
    </dxf>
    <dxf>
      <numFmt numFmtId="0" formatCode="General"/>
    </dxf>
    <dxf>
      <font>
        <strike val="0"/>
        <outline val="0"/>
        <shadow val="0"/>
        <u val="none"/>
        <vertAlign val="baseline"/>
        <sz val="12"/>
        <color theme="1"/>
        <name val="Calibri"/>
        <scheme val="minor"/>
      </font>
    </dxf>
    <dxf>
      <font>
        <strike val="0"/>
        <outline val="0"/>
        <shadow val="0"/>
        <u val="none"/>
        <vertAlign val="baseline"/>
        <sz val="16"/>
        <color theme="1"/>
        <name val="Calibri"/>
        <scheme val="minor"/>
      </font>
      <alignment horizontal="center" vertical="center" textRotation="0" wrapText="0" indent="0" justifyLastLine="0" shrinkToFit="0" readingOrder="0"/>
    </dxf>
    <dxf>
      <fill>
        <patternFill>
          <bgColor theme="5" tint="0.79998168889431442"/>
        </patternFill>
      </fill>
    </dxf>
    <dxf>
      <font>
        <color auto="1"/>
      </font>
      <fill>
        <patternFill>
          <bgColor theme="5" tint="0.59996337778862885"/>
        </patternFill>
      </fill>
    </dxf>
    <dxf>
      <fill>
        <patternFill>
          <bgColor rgb="FFC00000"/>
        </patternFill>
      </fill>
    </dxf>
  </dxfs>
  <tableStyles count="1" defaultTableStyle="TableStyleMedium2" defaultPivotStyle="PivotStyleLight16">
    <tableStyle name="Table Style 1" pivot="0" count="3" xr9:uid="{B958A5F4-6A51-446E-8A48-92BFA85CC611}">
      <tableStyleElement type="headerRow" dxfId="129"/>
      <tableStyleElement type="firstRowStripe" dxfId="128"/>
      <tableStyleElement type="secondRowStripe" dxfId="127"/>
    </tableStyle>
  </tableStyles>
  <colors>
    <mruColors>
      <color rgb="FF22D8C2"/>
      <color rgb="FFD59CD6"/>
      <color rgb="FFCA7DFF"/>
      <color rgb="FFEE7370"/>
      <color rgb="FFA27800"/>
      <color rgb="FFC0B24C"/>
      <color rgb="FFBAC349"/>
      <color rgb="FFFA6F60"/>
      <color rgb="FFFF0000"/>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489488</xdr:colOff>
      <xdr:row>0</xdr:row>
      <xdr:rowOff>230974</xdr:rowOff>
    </xdr:from>
    <xdr:to>
      <xdr:col>16</xdr:col>
      <xdr:colOff>522517</xdr:colOff>
      <xdr:row>2</xdr:row>
      <xdr:rowOff>305269</xdr:rowOff>
    </xdr:to>
    <xdr:pic>
      <xdr:nvPicPr>
        <xdr:cNvPr id="17" name="Picture 16">
          <a:extLst>
            <a:ext uri="{FF2B5EF4-FFF2-40B4-BE49-F238E27FC236}">
              <a16:creationId xmlns:a16="http://schemas.microsoft.com/office/drawing/2014/main" id="{11CB73EF-0F22-BBCE-CEF8-EB8365CFBCE2}"/>
            </a:ext>
          </a:extLst>
        </xdr:cNvPr>
        <xdr:cNvPicPr>
          <a:picLocks noChangeAspect="1"/>
        </xdr:cNvPicPr>
      </xdr:nvPicPr>
      <xdr:blipFill>
        <a:blip xmlns:r="http://schemas.openxmlformats.org/officeDocument/2006/relationships" r:embed="rId1"/>
        <a:stretch>
          <a:fillRect/>
        </a:stretch>
      </xdr:blipFill>
      <xdr:spPr>
        <a:xfrm>
          <a:off x="3537488" y="230974"/>
          <a:ext cx="6738629" cy="1217295"/>
        </a:xfrm>
        <a:prstGeom prst="rect">
          <a:avLst/>
        </a:prstGeom>
      </xdr:spPr>
    </xdr:pic>
    <xdr:clientData/>
  </xdr:twoCellAnchor>
  <xdr:twoCellAnchor editAs="oneCell">
    <xdr:from>
      <xdr:col>1</xdr:col>
      <xdr:colOff>446572</xdr:colOff>
      <xdr:row>0</xdr:row>
      <xdr:rowOff>476250</xdr:rowOff>
    </xdr:from>
    <xdr:to>
      <xdr:col>5</xdr:col>
      <xdr:colOff>345186</xdr:colOff>
      <xdr:row>2</xdr:row>
      <xdr:rowOff>64770</xdr:rowOff>
    </xdr:to>
    <xdr:pic>
      <xdr:nvPicPr>
        <xdr:cNvPr id="3" name="Picture 2">
          <a:extLst>
            <a:ext uri="{FF2B5EF4-FFF2-40B4-BE49-F238E27FC236}">
              <a16:creationId xmlns:a16="http://schemas.microsoft.com/office/drawing/2014/main" id="{0C7D2D29-BE41-2B74-4DB3-0B4B252E25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6172" y="476250"/>
          <a:ext cx="2337014" cy="73152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hristina Goulette" id="{3685CDA5-F4BD-48AD-924F-4E983A19BD88}" userId="S::cgoulette@firstinspires.org::51d14572-7129-4b76-aebd-d50a5d1ddb9b"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57DA5D-0728-43CC-89CB-464783C02596}" name="OfficialTeamList" displayName="OfficialTeamList" ref="B2:F202" totalsRowShown="0" headerRowDxfId="126" dataDxfId="125">
  <autoFilter ref="B2:F202" xr:uid="{9A57DA5D-0728-43CC-89CB-464783C02596}"/>
  <tableColumns count="5">
    <tableColumn id="5" xr3:uid="{B99CF027-B3A1-46DF-98B7-68C43C3D8B0F}" name="Row" dataDxfId="124" dataCellStyle="Explanatory Text"/>
    <tableColumn id="1" xr3:uid="{0CD9B14F-AAE3-41D7-9632-8300D4D6723A}" name="Team Number" dataDxfId="123"/>
    <tableColumn id="2" xr3:uid="{08C59E50-C306-4788-9E42-268EFB93DE09}" name="Team Name" dataDxfId="122"/>
    <tableColumn id="3" xr3:uid="{0BD55395-E8EA-4704-AEAC-08B817737204}" name="Coach" dataDxfId="121"/>
    <tableColumn id="4" xr3:uid="{B12C466D-ED6C-4E44-9F99-D15DA1EEB864}" name="Pod Number" dataDxfId="120"/>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A1DCB3D-0814-46FE-898C-0BE099A357F6}" name="TournamentData" displayName="TournamentData" ref="A2:AB202" totalsRowShown="0" headerRowDxfId="119" dataDxfId="117" headerRowBorderDxfId="118">
  <autoFilter ref="A2:AB202" xr:uid="{2A1DCB3D-0814-46FE-898C-0BE099A357F6}"/>
  <tableColumns count="28">
    <tableColumn id="1" xr3:uid="{3404AD6D-4282-423A-9754-3D7D9B3C3735}" name="Team Number" dataDxfId="116"/>
    <tableColumn id="2" xr3:uid="{D31BEA3F-A242-4303-B1A1-0E2E9D206B50}" name="Team Name" dataDxfId="115">
      <calculatedColumnFormula>_xlfn.XLOOKUP(TournamentData[[#This Row],[Team Number]],OfficialTeamList[Team Number],OfficialTeamList[Team Name],"",0,)</calculatedColumnFormula>
    </tableColumn>
    <tableColumn id="6" xr3:uid="{E1F804F2-12A3-4C51-AC8D-F057C978F611}" name="Match Score 1" dataDxfId="114">
      <calculatedColumnFormula>IF(TournamentData[[#This Row],[Team Number]]="","",_xlfn.XLOOKUP(TournamentData[[#This Row],[Team Number]],RobotGameScores[Team Number],RobotGameScores[Match 1 Score],0,0,))</calculatedColumnFormula>
    </tableColumn>
    <tableColumn id="7" xr3:uid="{8F629D3B-02C2-48AE-BDC1-C1C7F19F37C5}" name="Match Score 2" dataDxfId="113">
      <calculatedColumnFormula>IF(TournamentData[[#This Row],[Team Number]]="","",_xlfn.XLOOKUP(TournamentData[[#This Row],[Team Number]],RobotGameScores[Team Number],RobotGameScores[Match 2 Score],0,0,))</calculatedColumnFormula>
    </tableColumn>
    <tableColumn id="8" xr3:uid="{90E9F9C6-2B82-4F06-A428-EDFFBBAC7498}" name="Match Score 3" dataDxfId="112">
      <calculatedColumnFormula>IF(TournamentData[[#This Row],[Team Number]]="","",_xlfn.XLOOKUP(TournamentData[[#This Row],[Team Number]],RobotGameScores[Team Number],RobotGameScores[Match 3 Score],0,0,))</calculatedColumnFormula>
    </tableColumn>
    <tableColumn id="16" xr3:uid="{04785D41-B8C6-4C02-A830-8548358B8D44}" name="Match Score 4" dataDxfId="111">
      <calculatedColumnFormula>IF(TournamentData[[#This Row],[Team Number]]="","",_xlfn.XLOOKUP(TournamentData[[#This Row],[Team Number]],RobotGameScores[Team Number],RobotGameScores[Match 4 Score],0,0,))</calculatedColumnFormula>
    </tableColumn>
    <tableColumn id="9" xr3:uid="{1EB78C59-679D-452E-A963-65B0BFD24A54}" name="Match Score 5" dataDxfId="110">
      <calculatedColumnFormula>IF(TournamentData[[#This Row],[Team Number]]="","",_xlfn.XLOOKUP(TournamentData[[#This Row],[Team Number]],RobotGameScores[Team Number],RobotGameScores[Match 5 Score],0,0,))</calculatedColumnFormula>
    </tableColumn>
    <tableColumn id="22" xr3:uid="{19927BA8-7578-431E-8837-ACBC281CEA70}" name="Match Score 6" dataDxfId="109">
      <calculatedColumnFormula>IF(TournamentData[[#This Row],[Team Name]]="","",_xlfn.XLOOKUP(TournamentData[[#This Row],[Team Name]],RobotGameScores[Team Name],RobotGameScores[Match 6 Score],0,0,))</calculatedColumnFormula>
    </tableColumn>
    <tableColumn id="29" xr3:uid="{2BFF30D0-8AD3-41B4-963E-4678BDF0C0BE}" name="Max Match Score" dataDxfId="108"/>
    <tableColumn id="10" xr3:uid="{B6B1D458-5FB7-43E7-8B39-AA2F65B18A79}" name="Match Score Average" dataDxfId="107">
      <calculatedColumnFormula>SUM(TournamentData[[#This Row],[Match Score 1]:[Match Score 6]])/NumberOfRounds</calculatedColumnFormula>
    </tableColumn>
    <tableColumn id="15" xr3:uid="{F9A2CE28-D46E-49C6-A099-9C01230ABCE9}" name=" Game Rank" dataDxfId="106">
      <calculatedColumnFormula>IF(TournamentData[[#This Row],[Team Number]]="","",1+COUNTIFS($J$3:$J$201,"&gt;"&amp;J3)+COUNTIFS($J$3:$J$201,J3,$I$3:$I$201,"&gt;"&amp;I3))</calculatedColumnFormula>
    </tableColumn>
    <tableColumn id="3" xr3:uid="{914F3BD4-3D95-4E9D-8B15-63DBEEA6311D}" name="Core Values Rank" dataDxfId="105">
      <calculatedColumnFormula>IF(TournamentData[[#This Row],[Team Number]]="","",_xlfn.XLOOKUP(TournamentData[[#This Row],[Team Number]],CoreValuesResults[Team Number],CoreValuesResults[Core Values Rank],NumberOfTeams+1,0,))</calculatedColumnFormula>
    </tableColumn>
    <tableColumn id="4" xr3:uid="{C37FA1D6-8896-4A7A-98D9-13601B3FDF35}" name=" Project Rank" dataDxfId="104">
      <calculatedColumnFormula>IF(TournamentData[[#This Row],[Team Number]]="","",_xlfn.XLOOKUP(TournamentData[[#This Row],[Team Number]],InnovationProjectResults[Team Number],InnovationProjectResults[Innovation Project Rank],NumberOfTeams+1,0,))</calculatedColumnFormula>
    </tableColumn>
    <tableColumn id="5" xr3:uid="{1D2B4A39-1B9E-423C-B462-8497B1DC7AA7}" name="Engineering Design Rank" dataDxfId="103">
      <calculatedColumnFormula>IF(TournamentData[[#This Row],[Team Number]]="","",_xlfn.XLOOKUP(TournamentData[[#This Row],[Team Number]],RobotDesignResults[Team Number],RobotDesignResults[Engineering Design Rank],NumberOfTeams+1,0,))</calculatedColumnFormula>
    </tableColumn>
    <tableColumn id="14" xr3:uid="{1F96C5E0-1B6E-477E-9FC5-406FD705E100}" name="Champion's Score" dataDxfId="102">
      <calculatedColumnFormula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calculatedColumnFormula>
    </tableColumn>
    <tableColumn id="11" xr3:uid="{6BB50963-77AB-4E55-955C-C7FE6918B6DC}" name="Champion's Rank" dataDxfId="101">
      <calculatedColumnFormula>IF(TournamentData[[#This Row],[Team Number]]="","",IF(O3,RANK(O3,O$3:O$202,1)-COUNTIF(O$3:O$202,0),NumberOfTeams+1))</calculatedColumnFormula>
    </tableColumn>
    <tableColumn id="19" xr3:uid="{989D3B14-B261-4FED-8673-F6DA10F088D5}" name="Inspiration Award" dataDxfId="100">
      <calculatedColumnFormula>_xlfn.XLOOKUP(TournamentData[[#This Row],[Team Number]],CoreValuesResults[Team Number],CoreValuesResults[Inspiration Selection],0,0,)</calculatedColumnFormula>
    </tableColumn>
    <tableColumn id="18" xr3:uid="{49C473A1-FAAD-4E72-9A3C-A8E0980F6AF3}" name="Rising All-Star" dataDxfId="99">
      <calculatedColumnFormula>_xlfn.XLOOKUP(TournamentData[[#This Row],[Team Number]],CoreValuesResults[Team Number],CoreValuesResults[Rising All-Star Selection],0,0,)</calculatedColumnFormula>
    </tableColumn>
    <tableColumn id="17" xr3:uid="{E97AF9D9-27A4-4AE1-9A71-B27751589B69}" name="Coopertition Award" dataDxfId="98">
      <calculatedColumnFormula>IF(OR(TournamentData[[#This Row],[Team Number]]=INDEX('Game Coopertition Award Rank'!$C:$C,MATCH(MAX('Game Coopertition Award Rank'!$J:$J),'Game Coopertition Award Rank'!$J:$J,0)),TournamentData[[#This Row],[Team Number]]=INDEX('Game Coopertition Award Rank'!$E:$E,MATCH(MAX('Game Coopertition Award Rank'!$J:$J),'Game Coopertition Award Rank'!$J:$J,0))),1,0)</calculatedColumnFormula>
    </tableColumn>
    <tableColumn id="12" xr3:uid="{9853B4B2-647F-43A3-A83C-8D657227CD3E}" name="Award" dataDxfId="97"/>
    <tableColumn id="13" xr3:uid="{937B0366-1118-4ABB-8166-A30861CCF0C8}" name="Award Place" dataDxfId="96"/>
    <tableColumn id="21" xr3:uid="{208243C4-9633-45B9-8468-757430861356}" name="Advance?" dataDxfId="95"/>
    <tableColumn id="28" xr3:uid="{9323C8AB-890B-4481-9674-F8D079BA4A7A}" name="Core Values Score" dataDxfId="94">
      <calculatedColumnFormula>_xlfn.XLOOKUP(TournamentData[[#This Row],[Team Number]],CoreValuesResults[Team Number],CoreValuesResults[Core Values Score],0,0,)</calculatedColumnFormula>
    </tableColumn>
    <tableColumn id="27" xr3:uid="{E76E8BD7-6A1C-45CF-93F5-B174DDEFD435}" name=" Project Score" dataDxfId="93">
      <calculatedColumnFormula>_xlfn.XLOOKUP(TournamentData[[#This Row],[Team Number]],InnovationProjectResults[Team Number],InnovationProjectResults[Innovation Project Score],0,0,)</calculatedColumnFormula>
    </tableColumn>
    <tableColumn id="26" xr3:uid="{10E83603-47AF-4CB0-86FA-F8F431BB8B08}" name="Engineering Design Score" dataDxfId="92">
      <calculatedColumnFormula>_xlfn.XLOOKUP(TournamentData[[#This Row],[Team Number]],RobotDesignResults[Team Number],RobotDesignResults[Engineering Design Score],0,0,)</calculatedColumnFormula>
    </tableColumn>
    <tableColumn id="25" xr3:uid="{0776B7D5-E7EB-4715-9E47-2988368D1FF0}" name="Overall Score - Geometric Mean" dataDxfId="91">
      <calculatedColumnFormula>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calculatedColumnFormula>
    </tableColumn>
    <tableColumn id="24" xr3:uid="{401C6AA8-DFB7-4A10-9258-EB3582D63C56}" name="Overall Ranking - Geometric Mean" dataDxfId="90">
      <calculatedColumnFormula>IF(Z3,_xlfn.RANK.EQ(Z3,Z$3:Z$110,0),NumberOfTeams)</calculatedColumnFormula>
    </tableColumn>
    <tableColumn id="20" xr3:uid="{7A887FB6-6B8E-45C5-9A2D-839A8EC48E25}" name="Comments" dataDxfId="8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021B0B9-C6EE-42B8-AF12-212367A10982}" name="InnovationProjectResults" displayName="InnovationProjectResults" ref="A1:N201" totalsRowShown="0" headerRowDxfId="88" dataDxfId="87">
  <autoFilter ref="A1:N201" xr:uid="{9021B0B9-C6EE-42B8-AF12-212367A10982}"/>
  <tableColumns count="14">
    <tableColumn id="1" xr3:uid="{B6873015-0290-42FE-9C9D-CB501E371BE4}" name="Team Number" dataDxfId="86"/>
    <tableColumn id="2" xr3:uid="{9DF86304-7643-4472-B942-8AF4353D44FF}" name="Team Name" dataDxfId="85">
      <calculatedColumnFormula>_xlfn.XLOOKUP(InnovationProjectResults[[#This Row],[Team Number]],OfficialTeamList[Team Number],OfficialTeamList[Team Name],"",0,)</calculatedColumnFormula>
    </tableColumn>
    <tableColumn id="3" xr3:uid="{02F681C4-6C1B-46D9-ACF0-05151B72E9E5}" name="Explore 1" dataDxfId="84"/>
    <tableColumn id="4" xr3:uid="{0A72ACF8-91FA-4876-AB91-E2F6F5A24C18}" name="Explore 2 (CV)" dataDxfId="83"/>
    <tableColumn id="5" xr3:uid="{5A15EF59-EBA6-4FD0-9B6D-6FE3813C5AB9}" name="Ideate 1" dataDxfId="82"/>
    <tableColumn id="6" xr3:uid="{168395F3-D30B-4BFA-B930-BCA4CB494696}" name="Ideate 2" dataDxfId="81"/>
    <tableColumn id="7" xr3:uid="{FB4096B5-669D-443A-878C-85B9334B3D60}" name="Ideate 3 (CV)" dataDxfId="80"/>
    <tableColumn id="10" xr3:uid="{2A182308-6E80-48D0-B8AD-351425C498CA}" name="Implement 1 (CV)" dataDxfId="79"/>
    <tableColumn id="8" xr3:uid="{B7F275E4-6032-4C02-9DB2-3435B1B6D2D4}" name="Implement 2" dataDxfId="78"/>
    <tableColumn id="9" xr3:uid="{A974A1CA-311B-447C-9BC5-0352540CE411}" name="Implement3" dataDxfId="77"/>
    <tableColumn id="11" xr3:uid="{17993154-EA9A-4C57-AE4A-E5228606BFE5}" name="Communicate 1" dataDxfId="76"/>
    <tableColumn id="12" xr3:uid="{5EFE267A-E498-459A-A8AF-89B4CDE3CE1F}" name="Communicate 2 (CV)" dataDxfId="75"/>
    <tableColumn id="19" xr3:uid="{BE9ABB49-F6D7-4DE4-9D0A-53FB54F38028}" name="Innovation Project Score" dataDxfId="74">
      <calculatedColumnFormula>SUM(InnovationProjectResults[[#This Row],[Explore 1]:[Communicate 2 (CV)]])</calculatedColumnFormula>
    </tableColumn>
    <tableColumn id="20" xr3:uid="{01160DC1-72BC-4DD7-82C4-9FE2B72569C1}" name="Innovation Project Rank" dataDxfId="73">
      <calculatedColumnFormula>IF(InnovationProjectResults[[#This Row],[Team Number]]&gt;0,MIN(_xlfn.RANK.EQ(InnovationProjectResults[[#This Row],[Innovation Project Score]],InnovationProjectResults[Innovation Project Score],0),NumberOfTeams),NumberOfTeams+1)</calculatedColumnFormula>
    </tableColumn>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8C6BAE1-B275-4E67-9926-45FED001C063}" name="RobotDesignResults" displayName="RobotDesignResults" ref="A1:N201" totalsRowShown="0" headerRowDxfId="72" dataDxfId="71">
  <autoFilter ref="A1:N201" xr:uid="{B8C6BAE1-B275-4E67-9926-45FED001C063}"/>
  <tableColumns count="14">
    <tableColumn id="1" xr3:uid="{DF4A7F0B-0462-481F-862B-73D1CD4BE394}" name="Team Number" dataDxfId="70"/>
    <tableColumn id="2" xr3:uid="{71B20507-3F21-41AB-8754-020D68A621D2}" name="Team Name" dataDxfId="69">
      <calculatedColumnFormula>_xlfn.XLOOKUP(RobotDesignResults[[#This Row],[Team Number]],OfficialTeamList[Team Number],OfficialTeamList[Team Name],"",0,)</calculatedColumnFormula>
    </tableColumn>
    <tableColumn id="3" xr3:uid="{B38A3CFD-5F10-44DF-A076-4AE35AE586D5}" name="Identify 1" dataDxfId="68"/>
    <tableColumn id="4" xr3:uid="{651A5056-1AC0-4F40-9A80-4600495E3EEB}" name="Identify 2 (CV)" dataDxfId="67"/>
    <tableColumn id="5" xr3:uid="{21B77B4B-A0F3-4349-9F14-E3108C053E0C}" name="Design &amp; Create 1" dataDxfId="66"/>
    <tableColumn id="7" xr3:uid="{575BA16A-1191-47B0-802B-6CAE2CE26021}" name="Design &amp; Create 2" dataDxfId="65"/>
    <tableColumn id="6" xr3:uid="{ED6D4D68-295A-4BF5-800B-69A35361E0FD}" name="Design &amp; Create 3" dataDxfId="64"/>
    <tableColumn id="8" xr3:uid="{2A048659-ABD6-4856-8580-2F7AD80FF9DE}" name="Iterate 1" dataDxfId="63"/>
    <tableColumn id="9" xr3:uid="{ADBB53E5-91F2-4072-9D8B-38ABDA097892}" name="Iterate 2" dataDxfId="62"/>
    <tableColumn id="11" xr3:uid="{43F18C83-464D-40B9-AB43-221E180D497C}" name="Iterate 3 (CV)" dataDxfId="61"/>
    <tableColumn id="12" xr3:uid="{0B22383D-8012-40D2-8D12-58BD4CE6CA7F}" name="Communicate 1 (CV)" dataDxfId="60"/>
    <tableColumn id="13" xr3:uid="{3432F1C2-E843-4163-8A06-568E593C8EFE}" name="Communicate 2 (CV)" dataDxfId="59"/>
    <tableColumn id="19" xr3:uid="{0724923B-1E84-4EE3-9051-75975C82F8CE}" name="Engineering Design Score" dataDxfId="58">
      <calculatedColumnFormula>SUM(RobotDesignResults[[#This Row],[Identify 1]:[Communicate 2 (CV)]])</calculatedColumnFormula>
    </tableColumn>
    <tableColumn id="20" xr3:uid="{40CD15CC-8400-4FFA-B76C-16683310DDD9}" name="Engineering Design Rank" dataDxfId="57">
      <calculatedColumnFormula>IF(RobotDesignResults[[#This Row],[Team Number]]&gt;0,MIN(_xlfn.RANK.EQ(RobotDesignResults[[#This Row],[Engineering Design Score]],RobotDesignResults[Engineering Design Score],0),NumberOfTeams),NumberOfTeams+1)</calculatedColumnFormula>
    </tableColumn>
  </tableColumns>
  <tableStyleInfo name="TableStyleMedium1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1EA5ECA-5EE3-4725-A45F-7666FBF2CAAD}" name="RobotGameScores" displayName="RobotGameScores" ref="A1:J201" totalsRowShown="0" headerRowDxfId="56" headerRowBorderDxfId="55">
  <autoFilter ref="A1:J201" xr:uid="{81EA5ECA-5EE3-4725-A45F-7666FBF2CAAD}"/>
  <sortState xmlns:xlrd2="http://schemas.microsoft.com/office/spreadsheetml/2017/richdata2" ref="A2:J201">
    <sortCondition ref="B1:B201"/>
  </sortState>
  <tableColumns count="10">
    <tableColumn id="1" xr3:uid="{0E3C036F-3DD4-4D31-9422-7D09E0846FAE}" name="Game Rank" dataDxfId="54">
      <calculatedColumnFormula>IF(RobotGameScores[[#This Row],[Team Number]]&gt;0,MIN(_xlfn.RANK.EQ(RobotGameScores[[#This Row],[Match Score Average]],RobotGameScores[Match Score Average],0),NumberOfTeams),NumberOfTeams+1)</calculatedColumnFormula>
    </tableColumn>
    <tableColumn id="2" xr3:uid="{D5719E1F-6FF7-4FD0-91EF-0A67DCC3A2D5}" name="Team Number" dataDxfId="53"/>
    <tableColumn id="10" xr3:uid="{9E8C2482-A4E3-4AB3-A57E-8CEDC2C7EBA7}" name="Team Name" dataDxfId="52">
      <calculatedColumnFormula>_xlfn.XLOOKUP(RobotDesignResults[[#This Row],[Team Number]],OfficialTeamList[Team Number],OfficialTeamList[Team Name],"",0,)</calculatedColumnFormula>
    </tableColumn>
    <tableColumn id="3" xr3:uid="{5DAD4516-3667-4C27-8AE3-922DF09D67BF}" name="Match 1 Score"/>
    <tableColumn id="4" xr3:uid="{7AEFED10-9A3A-4299-979A-D410B0D21329}" name="Match 2 Score"/>
    <tableColumn id="5" xr3:uid="{DBD7343D-CE13-43C8-9A2F-129EF9C6218D}" name="Match 3 Score"/>
    <tableColumn id="6" xr3:uid="{B2AF7BD7-C406-451D-9A45-ACDD3579C446}" name="Match 4 Score" dataDxfId="51"/>
    <tableColumn id="7" xr3:uid="{BA7C1E35-920E-46B7-964A-71535563953B}" name="Match 5 Score" dataDxfId="50"/>
    <tableColumn id="11" xr3:uid="{276A63C6-3703-400B-ADE5-4C5B4FCFF9FF}" name="Match 6 Score" dataDxfId="49"/>
    <tableColumn id="8" xr3:uid="{0E0234FC-F2CC-48AC-93E7-7174AD825EAA}" name="Match Score Average" dataDxfId="48">
      <calculatedColumnFormula>SUM(RobotGameScores[[#This Row],[Match 1 Score]:[Match 6 Score]])/NumberOfRounds</calculatedColumnFormula>
    </tableColumn>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9C73DB8-8BE9-4B9B-8A38-6883F23413EF}" name="RobotGameScores3" displayName="RobotGameScores3" ref="A1:J201" totalsRowShown="0" headerRowDxfId="47" headerRowBorderDxfId="46">
  <autoFilter ref="A1:J201" xr:uid="{81EA5ECA-5EE3-4725-A45F-7666FBF2CAAD}"/>
  <sortState xmlns:xlrd2="http://schemas.microsoft.com/office/spreadsheetml/2017/richdata2" ref="A2:I201">
    <sortCondition ref="C1:C201"/>
  </sortState>
  <tableColumns count="10">
    <tableColumn id="1" xr3:uid="{3BBC2133-46C3-48F6-886A-815548DF409D}" name="Game Match #" dataDxfId="45">
      <calculatedColumnFormula>IF(RobotGameScores3[[#This Row],[Blue Team Number]]&gt;0,MIN(_xlfn.RANK.EQ(RobotGameScores3[[#This Row],[Highest Combined Score]],RobotGameScores3[Highest Combined Score],0),NumberOfTeams),NumberOfTeams+1)</calculatedColumnFormula>
    </tableColumn>
    <tableColumn id="15" xr3:uid="{3C9E4BC1-8F79-44D2-BB00-0C7DCFA5828B}" name="Table #"/>
    <tableColumn id="2" xr3:uid="{8B849D26-85D9-44B2-8D30-FC7043BE595D}" name="Blue Team Number" dataDxfId="44"/>
    <tableColumn id="10" xr3:uid="{70CF77B5-357D-4CC8-8B87-98B8EE0A37DD}" name="Blue Team Name" dataDxfId="43"/>
    <tableColumn id="14" xr3:uid="{0CA15585-C6BE-45EB-8137-FA01B5EB51C1}" name="Red Team Number"/>
    <tableColumn id="13" xr3:uid="{202A9AFA-CD9E-4B31-BA8F-E7D38C445BBD}" name="Red Team Name" dataDxfId="42"/>
    <tableColumn id="3" xr3:uid="{9F644D8B-6CBA-4673-AF94-F8AC68A0DE03}" name="Blue Team Score" dataDxfId="41">
      <calculatedColumnFormula>VLOOKUP(RobotGameScores3[[#This Row],[Blue Team Number]],'Game Scores'!$B:$I,2+COUNTIF($C$2:E2,C2),FALSE)</calculatedColumnFormula>
    </tableColumn>
    <tableColumn id="4" xr3:uid="{3CD78F0D-9DBB-42AD-B08A-C0D6F4016EA9}" name="Red Team Score" dataDxfId="40">
      <calculatedColumnFormula>VLOOKUP(RobotGameScores3[[#This Row],[Red Team Number]],'Game Scores'!$B:$I,2+COUNTIF($C$2:E2,E2),FALSE)</calculatedColumnFormula>
    </tableColumn>
    <tableColumn id="8" xr3:uid="{EAF69971-B194-43FD-A9F9-BAC4289C9FA3}" name="Highest Combined Score" dataDxfId="39">
      <calculatedColumnFormula>IF(SUM(RobotGameScores3[[#This Row],[Blue Team Score]:[Red Team Score]])=0,"",SUM(RobotGameScores3[[#This Row],[Blue Team Score]:[Red Team Score]]))</calculatedColumnFormula>
    </tableColumn>
    <tableColumn id="5" xr3:uid="{74018E64-7E42-4CB6-842C-F98256BCC85C}" name="Event Match Ranking" dataDxfId="38">
      <calculatedColumnFormula>IF(RobotGameScores3[[#This Row],[Blue Team Number]]="","",_xlfn.RANK.EQ(RobotGameScores3[[#This Row],[Highest Combined Score]],CombinedMatchScore))</calculatedColumnFormula>
    </tableColumn>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C06ACB6-AE63-4F1F-A2C0-983EE58B3429}" name="CoreValuesResults" displayName="CoreValuesResults" ref="A1:W201" totalsRowShown="0" headerRowDxfId="37" dataDxfId="36">
  <autoFilter ref="A1:W201" xr:uid="{8C06ACB6-AE63-4F1F-A2C0-983EE58B3429}"/>
  <tableColumns count="23">
    <tableColumn id="1" xr3:uid="{AA15DE28-8510-4923-9F10-6447A3B46C75}" name="Team Number" dataDxfId="35"/>
    <tableColumn id="2" xr3:uid="{5F4947B6-791C-4193-93BF-585713BF433B}" name="Team Name" dataDxfId="34">
      <calculatedColumnFormula>_xlfn.XLOOKUP(CoreValuesResults[[#This Row],[Team Number]],OfficialTeamList[Team Number],OfficialTeamList[Team Name],"",0,)</calculatedColumnFormula>
    </tableColumn>
    <tableColumn id="3" xr3:uid="{BF01DECE-79D4-4864-AC3F-80731E229D89}" name="Project CV 1 - EXPLORE" dataDxfId="33">
      <calculatedColumnFormula>_xlfn.XLOOKUP(CoreValuesResults[[#This Row],[Team Number]],InnovationProjectResults[Team Number],InnovationProjectResults[Explore 2 (CV)])</calculatedColumnFormula>
    </tableColumn>
    <tableColumn id="4" xr3:uid="{992EE2AA-0D58-4D23-970D-14C42D467871}" name="Project CV 2 IDEATE" dataDxfId="32">
      <calculatedColumnFormula>_xlfn.XLOOKUP(CoreValuesResults[[#This Row],[Team Number]],InnovationProjectResults[Team Number],InnovationProjectResults[Ideate 3 (CV)])</calculatedColumnFormula>
    </tableColumn>
    <tableColumn id="5" xr3:uid="{83EE406D-BB98-4E34-A8A1-C60801778A84}" name="Project CV 3 - IMPLEMENT" dataDxfId="31">
      <calculatedColumnFormula>_xlfn.XLOOKUP(CoreValuesResults[[#This Row],[Team Number]],InnovationProjectResults[Team Number],InnovationProjectResults[Implement 1 (CV)])</calculatedColumnFormula>
    </tableColumn>
    <tableColumn id="11" xr3:uid="{05A84BE8-F617-439A-86A2-6C972C4244F9}" name="Project CV 4 - COMMUNICATE" dataDxfId="30">
      <calculatedColumnFormula>_xlfn.XLOOKUP(CoreValuesResults[[#This Row],[Team Number]],InnovationProjectResults[Team Number],InnovationProjectResults[Communicate 2 (CV)])</calculatedColumnFormula>
    </tableColumn>
    <tableColumn id="22" xr3:uid="{A6B1E544-EDEA-4047-8BD8-A8A66F0CA467}" name="Engineering CV 1 - IDENTIFY" dataDxfId="29">
      <calculatedColumnFormula>_xlfn.XLOOKUP(CoreValuesResults[[#This Row],[Team Number]],RobotDesignResults[Team Number],RobotDesignResults[Identify 2 (CV)])</calculatedColumnFormula>
    </tableColumn>
    <tableColumn id="25" xr3:uid="{732AC15D-785F-4D59-965B-DB6C6D83E1E3}" name="Engineering CV 2 - ITERATE" dataDxfId="28">
      <calculatedColumnFormula>_xlfn.XLOOKUP(CoreValuesResults[[#This Row],[Team Number]],RobotDesignResults[Team Number],RobotDesignResults[Iterate 3 (CV)])</calculatedColumnFormula>
    </tableColumn>
    <tableColumn id="24" xr3:uid="{9C723B9B-6518-480B-80CB-89721A72780B}" name="Engineering CV 3 - COMMUNINCATE" dataDxfId="27">
      <calculatedColumnFormula>_xlfn.XLOOKUP(CoreValuesResults[[#This Row],[Team Number]],RobotDesignResults[Team Number],RobotDesignResults[Communicate 1 (CV)])</calculatedColumnFormula>
    </tableColumn>
    <tableColumn id="13" xr3:uid="{0802CF5A-9E01-44FA-8410-008F9B6A3204}" name="Engineering CV 4 - COMMUNINCATE" dataDxfId="26">
      <calculatedColumnFormula>_xlfn.XLOOKUP(CoreValuesResults[[#This Row],[Team Number]],RobotDesignResults[Team Number],RobotDesignResults[Communicate 2 (CV)])</calculatedColumnFormula>
    </tableColumn>
    <tableColumn id="7" xr3:uid="{999DE68C-8B89-4AD3-B06D-34619DAAB444}" name="Gracious Professionalism 1" dataDxfId="25"/>
    <tableColumn id="8" xr3:uid="{6B7B8D5D-BFB4-4F23-9AAE-F7C8F68BC85B}" name="Gracious Professionalism 2" dataDxfId="24"/>
    <tableColumn id="6" xr3:uid="{EF74DFA4-9A7E-40FF-8B18-2C80787EAB8A}" name="Gracious Professionalism 3" dataDxfId="23"/>
    <tableColumn id="9" xr3:uid="{DCFC5097-DF1E-45CC-8EA9-81D79549AF18}" name="Gracious Professionalism 4" dataDxfId="22"/>
    <tableColumn id="10" xr3:uid="{1C83D816-3D59-464C-9FFA-F5C7BBB709C6}" name="Gracious Professionalism 5" dataDxfId="21"/>
    <tableColumn id="26" xr3:uid="{41A87AD7-A13A-4BF7-B9C4-B14F60B9E522}" name="Gracious Professionalism 6" dataDxfId="20"/>
    <tableColumn id="21" xr3:uid="{C0DF172E-3288-48B4-BCB5-550705D6F352}" name="Gracious Professionalism Empty Count" dataDxfId="19">
      <calculatedColumnFormula>IF(CoreValuesResults[[#This Row],[Gracious Professionalism 1]]="","",COUNTIF(CoreValuesResults[[#This Row],[Gracious Professionalism 1]:[Gracious Professionalism 5]],""))</calculatedColumnFormula>
    </tableColumn>
    <tableColumn id="14" xr3:uid="{773868A4-B923-42D4-AF2C-9470E0536C3B}" name="Gracious Professionalism Total" dataDxfId="18">
      <calculatedColumnFormula>IF(CoreValuesResults[[#This Row],[Gracious Professionalism 1]]="","",SUM(CoreValuesResults[[#This Row],[Gracious Professionalism 1]:[Gracious Professionalism 5]]))</calculatedColumnFormula>
    </tableColumn>
    <tableColumn id="18" xr3:uid="{BF3CCEF4-F9B0-4591-A72C-3BE182C432CD}" name="Gracious Professionalism Score" dataDxfId="17">
      <calculatedColumnFormula>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calculatedColumnFormula>
    </tableColumn>
    <tableColumn id="19" xr3:uid="{738CEF97-09AE-42A9-809A-59E046E2B5A1}" name="Core Values Score" dataDxfId="16">
      <calculatedColumnFormula>SUM(CoreValuesResults[[#This Row],[Project CV 1 - EXPLORE]:[Engineering CV 4 - COMMUNINCATE]],CoreValuesResults[[#This Row],[Gracious Professionalism Score]])</calculatedColumnFormula>
    </tableColumn>
    <tableColumn id="20" xr3:uid="{9E97B6DB-3837-436B-9EEA-759716D9D221}" name="Core Values Rank" dataDxfId="15">
      <calculatedColumnFormula>IF(CoreValuesResults[[#This Row],[Team Number]]&gt;0,MIN(_xlfn.RANK.EQ(CoreValuesResults[[#This Row],[Core Values Score]],CoreValuesResults[Core Values Score],0),NumberOfTeams),NumberOfTeams+1)</calculatedColumnFormula>
    </tableColumn>
    <tableColumn id="15" xr3:uid="{DEB7683B-70B4-47A8-A579-022618390C33}" name="Inspiration Selection" dataDxfId="14"/>
    <tableColumn id="16" xr3:uid="{6E5FC98A-46FB-4083-AFB7-4B4B872288D1}" name="Rising All-Star Selection" dataDxfId="13"/>
  </tableColumns>
  <tableStyleInfo name="TableStyleMedium2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5" dT="2026-05-22T13:06:40.88" personId="{3685CDA5-F4BD-48AD-924F-4E983A19BD88}" id="{386277F8-40FB-443E-8BF4-5D3F851C7957}">
    <text xml:space="preserve">Is this still true? I see the team names there.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1.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table" Target="../tables/table2.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table" Target="../tables/table5.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D1:AS18"/>
  <sheetViews>
    <sheetView showGridLines="0" showRowColHeaders="0" tabSelected="1" zoomScale="50" zoomScaleNormal="50" workbookViewId="0">
      <selection activeCell="AT9" sqref="AT9"/>
    </sheetView>
  </sheetViews>
  <sheetFormatPr defaultRowHeight="15" x14ac:dyDescent="0.25"/>
  <cols>
    <col min="6" max="6" width="9.140625" customWidth="1"/>
  </cols>
  <sheetData>
    <row r="1" spans="4:45" ht="45" customHeight="1" x14ac:dyDescent="0.25">
      <c r="W1" s="106" t="s">
        <v>0</v>
      </c>
      <c r="X1" s="106"/>
      <c r="Y1" s="106"/>
      <c r="Z1" s="106"/>
      <c r="AA1" s="106"/>
      <c r="AB1" s="106"/>
      <c r="AC1" s="106"/>
      <c r="AD1" s="106"/>
      <c r="AE1" s="106"/>
      <c r="AF1" s="106"/>
      <c r="AG1" s="106"/>
      <c r="AH1" s="106"/>
      <c r="AI1" s="106"/>
      <c r="AJ1" s="106"/>
      <c r="AK1" s="106"/>
      <c r="AL1" s="106"/>
      <c r="AM1" s="106"/>
      <c r="AN1" s="106"/>
      <c r="AO1" s="106"/>
      <c r="AP1" s="106"/>
    </row>
    <row r="2" spans="4:45" ht="45" customHeight="1" x14ac:dyDescent="0.25">
      <c r="W2" s="106"/>
      <c r="X2" s="106"/>
      <c r="Y2" s="106"/>
      <c r="Z2" s="106"/>
      <c r="AA2" s="106"/>
      <c r="AB2" s="106"/>
      <c r="AC2" s="106"/>
      <c r="AD2" s="106"/>
      <c r="AE2" s="106"/>
      <c r="AF2" s="106"/>
      <c r="AG2" s="106"/>
      <c r="AH2" s="106"/>
      <c r="AI2" s="106"/>
      <c r="AJ2" s="106"/>
      <c r="AK2" s="106"/>
      <c r="AL2" s="106"/>
      <c r="AM2" s="106"/>
      <c r="AN2" s="106"/>
      <c r="AO2" s="106"/>
      <c r="AP2" s="106"/>
    </row>
    <row r="3" spans="4:45" ht="45" customHeight="1" x14ac:dyDescent="0.25">
      <c r="W3" s="1"/>
      <c r="X3" s="1"/>
      <c r="Y3" s="1"/>
      <c r="Z3" s="1"/>
      <c r="AA3" s="1"/>
      <c r="AB3" s="1"/>
      <c r="AC3" s="1"/>
      <c r="AD3" s="1"/>
      <c r="AE3" s="1"/>
      <c r="AF3" s="1"/>
      <c r="AG3" s="1"/>
      <c r="AH3" s="1"/>
      <c r="AI3" s="1"/>
      <c r="AJ3" s="1"/>
      <c r="AK3" s="1"/>
      <c r="AL3" s="1"/>
      <c r="AM3" s="1"/>
      <c r="AN3" s="1"/>
    </row>
    <row r="4" spans="4:45" ht="150.75" customHeight="1" x14ac:dyDescent="0.25">
      <c r="D4" s="6" t="s">
        <v>1</v>
      </c>
      <c r="E4" s="110" t="s">
        <v>79</v>
      </c>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row>
    <row r="5" spans="4:45" ht="90.75" customHeight="1" x14ac:dyDescent="0.25">
      <c r="D5" s="2"/>
      <c r="E5" s="5"/>
      <c r="F5" s="108" t="s">
        <v>2</v>
      </c>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08"/>
      <c r="AN5" s="108"/>
      <c r="AO5" s="108"/>
      <c r="AP5" s="108"/>
      <c r="AQ5" s="108"/>
      <c r="AR5" s="108"/>
      <c r="AS5" s="3"/>
    </row>
    <row r="6" spans="4:45" ht="90.75" customHeight="1" x14ac:dyDescent="0.25">
      <c r="D6" s="6" t="s">
        <v>3</v>
      </c>
      <c r="E6" s="107" t="s">
        <v>6</v>
      </c>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row>
    <row r="7" spans="4:45" ht="90.75" customHeight="1" x14ac:dyDescent="0.25">
      <c r="D7" s="4"/>
      <c r="E7" s="5"/>
      <c r="F7" s="109" t="s">
        <v>142</v>
      </c>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c r="AS7" s="5"/>
    </row>
    <row r="8" spans="4:45" ht="90.75" customHeight="1" x14ac:dyDescent="0.25">
      <c r="D8" s="6" t="s">
        <v>5</v>
      </c>
      <c r="E8" s="107" t="s">
        <v>8</v>
      </c>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row>
    <row r="9" spans="4:45" ht="90.75" customHeight="1" x14ac:dyDescent="0.25">
      <c r="D9" s="6"/>
      <c r="E9" s="2"/>
      <c r="F9" s="109" t="s">
        <v>137</v>
      </c>
      <c r="G9" s="109"/>
      <c r="H9" s="109"/>
      <c r="I9" s="109"/>
      <c r="J9" s="109"/>
      <c r="K9" s="109"/>
      <c r="L9" s="109"/>
      <c r="M9" s="109"/>
      <c r="N9" s="109"/>
      <c r="O9" s="109"/>
      <c r="P9" s="109"/>
      <c r="Q9" s="109"/>
      <c r="R9" s="109"/>
      <c r="S9" s="109"/>
      <c r="T9" s="109"/>
      <c r="U9" s="109"/>
      <c r="V9" s="109"/>
      <c r="W9" s="109"/>
      <c r="X9" s="109"/>
      <c r="Y9" s="109"/>
      <c r="Z9" s="109"/>
      <c r="AA9" s="109"/>
      <c r="AB9" s="109"/>
      <c r="AC9" s="109"/>
      <c r="AD9" s="109"/>
      <c r="AE9" s="109"/>
      <c r="AF9" s="109"/>
      <c r="AG9" s="109"/>
      <c r="AH9" s="109"/>
      <c r="AI9" s="109"/>
      <c r="AJ9" s="109"/>
      <c r="AK9" s="109"/>
      <c r="AL9" s="109"/>
      <c r="AM9" s="109"/>
      <c r="AN9" s="109"/>
      <c r="AO9" s="109"/>
      <c r="AP9" s="109"/>
      <c r="AQ9" s="109"/>
      <c r="AR9" s="109"/>
      <c r="AS9" s="2"/>
    </row>
    <row r="10" spans="4:45" ht="90.75" customHeight="1" thickBot="1" x14ac:dyDescent="0.3">
      <c r="D10" s="6" t="s">
        <v>7</v>
      </c>
      <c r="E10" s="107" t="s">
        <v>9</v>
      </c>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row>
    <row r="11" spans="4:45" ht="90.75" customHeight="1" thickBot="1" x14ac:dyDescent="0.3">
      <c r="D11" s="6"/>
      <c r="E11" s="100" t="s">
        <v>138</v>
      </c>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1"/>
      <c r="AO11" s="101"/>
      <c r="AP11" s="101"/>
      <c r="AQ11" s="101"/>
      <c r="AR11" s="101"/>
      <c r="AS11" s="102"/>
    </row>
    <row r="12" spans="4:45" ht="90.75" customHeight="1" x14ac:dyDescent="0.25">
      <c r="E12" s="103" t="s">
        <v>139</v>
      </c>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row>
    <row r="13" spans="4:45" ht="63.95" customHeight="1" x14ac:dyDescent="0.25">
      <c r="E13" s="103" t="s">
        <v>145</v>
      </c>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row>
    <row r="14" spans="4:45" ht="42" customHeight="1" x14ac:dyDescent="0.25">
      <c r="E14" s="103" t="s">
        <v>140</v>
      </c>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row>
    <row r="15" spans="4:45" ht="150" customHeight="1" x14ac:dyDescent="0.25">
      <c r="E15" s="103" t="s">
        <v>141</v>
      </c>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row>
    <row r="16" spans="4:45" ht="42" customHeight="1" x14ac:dyDescent="0.25">
      <c r="E16" s="103" t="s">
        <v>4</v>
      </c>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row>
    <row r="17" spans="5:45" ht="75" customHeight="1" x14ac:dyDescent="0.25">
      <c r="E17" s="103" t="s">
        <v>144</v>
      </c>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row>
    <row r="18" spans="5:45" ht="36" x14ac:dyDescent="0.55000000000000004">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row>
  </sheetData>
  <sheetProtection algorithmName="SHA-512" hashValue="aDmiBfDYfB6zAXsInkW4IQI18dsPTvmJGtD1vHIfsQtRDwzjL/R3z3gYSpoco+B+UjYKfLSdbSr1SO0y8F8aBg==" saltValue="qSCoxiuC9c0QieXhgLqOyg==" spinCount="100000" sheet="1" objects="1" scenarios="1"/>
  <mergeCells count="16">
    <mergeCell ref="E18:AS18"/>
    <mergeCell ref="E14:AS14"/>
    <mergeCell ref="E15:AS15"/>
    <mergeCell ref="W1:AP2"/>
    <mergeCell ref="E8:AS8"/>
    <mergeCell ref="E10:AS10"/>
    <mergeCell ref="F5:AR5"/>
    <mergeCell ref="F7:AR7"/>
    <mergeCell ref="E4:AS4"/>
    <mergeCell ref="E6:AS6"/>
    <mergeCell ref="F9:AR9"/>
    <mergeCell ref="E11:AS11"/>
    <mergeCell ref="E12:AS12"/>
    <mergeCell ref="E13:AS13"/>
    <mergeCell ref="E16:AS16"/>
    <mergeCell ref="E17:AS17"/>
  </mergeCells>
  <pageMargins left="0.7" right="0.7" top="0.75" bottom="0.75" header="0.3" footer="0.3"/>
  <pageSetup orientation="portrait" copies="3" r:id="rId1"/>
  <ignoredErrors>
    <ignoredError sqref="D4 D6:D10" numberStoredAsText="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1CD1E-C045-4D7B-B5B5-9E53B3A5179D}">
  <sheetPr>
    <tabColor theme="0"/>
  </sheetPr>
  <dimension ref="A1:F202"/>
  <sheetViews>
    <sheetView showGridLines="0" workbookViewId="0">
      <selection activeCell="H5" sqref="H5"/>
    </sheetView>
  </sheetViews>
  <sheetFormatPr defaultRowHeight="15" x14ac:dyDescent="0.25"/>
  <cols>
    <col min="1" max="1" width="23.85546875" bestFit="1" customWidth="1"/>
    <col min="2" max="2" width="9.42578125" bestFit="1" customWidth="1"/>
    <col min="3" max="3" width="23.85546875" bestFit="1" customWidth="1"/>
    <col min="4" max="4" width="68.5703125" customWidth="1"/>
    <col min="5" max="5" width="13.28515625" bestFit="1" customWidth="1"/>
    <col min="6" max="6" width="21.5703125" bestFit="1" customWidth="1"/>
  </cols>
  <sheetData>
    <row r="1" spans="1:6" ht="39.75" customHeight="1" x14ac:dyDescent="0.25">
      <c r="A1" s="82" t="s">
        <v>10</v>
      </c>
      <c r="B1" s="8"/>
      <c r="C1" s="98" t="s">
        <v>136</v>
      </c>
      <c r="D1" s="99"/>
      <c r="E1" s="99"/>
      <c r="F1" s="99"/>
    </row>
    <row r="2" spans="1:6" ht="39.75" customHeight="1" thickBot="1" x14ac:dyDescent="0.3">
      <c r="A2" s="97" t="s">
        <v>135</v>
      </c>
      <c r="B2" s="81" t="s">
        <v>11</v>
      </c>
      <c r="C2" s="10" t="s">
        <v>12</v>
      </c>
      <c r="D2" s="10" t="s">
        <v>13</v>
      </c>
      <c r="E2" s="7" t="s">
        <v>14</v>
      </c>
      <c r="F2" s="7" t="s">
        <v>15</v>
      </c>
    </row>
    <row r="3" spans="1:6" ht="39.75" customHeight="1" x14ac:dyDescent="0.25">
      <c r="A3" s="8"/>
      <c r="B3" s="11">
        <v>1</v>
      </c>
      <c r="C3" s="12">
        <v>1234</v>
      </c>
      <c r="D3" s="15" t="s">
        <v>51</v>
      </c>
      <c r="E3" s="12" t="s">
        <v>59</v>
      </c>
      <c r="F3" s="12">
        <v>1</v>
      </c>
    </row>
    <row r="4" spans="1:6" ht="39.75" customHeight="1" thickBot="1" x14ac:dyDescent="0.3">
      <c r="A4" s="7" t="s">
        <v>16</v>
      </c>
      <c r="B4" s="13">
        <v>2</v>
      </c>
      <c r="C4" s="12">
        <v>2345</v>
      </c>
      <c r="D4" s="15" t="s">
        <v>52</v>
      </c>
      <c r="E4" s="12" t="s">
        <v>60</v>
      </c>
      <c r="F4" s="12">
        <v>2</v>
      </c>
    </row>
    <row r="5" spans="1:6" ht="39.75" customHeight="1" thickBot="1" x14ac:dyDescent="0.3">
      <c r="A5" s="38">
        <f>COUNTA(OfficialTeamList[Team Number])</f>
        <v>8</v>
      </c>
      <c r="B5" s="13">
        <v>3</v>
      </c>
      <c r="C5" s="12">
        <v>3456</v>
      </c>
      <c r="D5" s="15" t="s">
        <v>53</v>
      </c>
      <c r="E5" s="12" t="s">
        <v>61</v>
      </c>
      <c r="F5" s="12">
        <v>1</v>
      </c>
    </row>
    <row r="6" spans="1:6" ht="39.75" customHeight="1" x14ac:dyDescent="0.25">
      <c r="A6" s="7"/>
      <c r="B6" s="13">
        <v>4</v>
      </c>
      <c r="C6" s="12">
        <v>235</v>
      </c>
      <c r="D6" s="15" t="s">
        <v>54</v>
      </c>
      <c r="E6" s="12" t="s">
        <v>62</v>
      </c>
      <c r="F6" s="12">
        <v>2</v>
      </c>
    </row>
    <row r="7" spans="1:6" ht="39.75" customHeight="1" thickBot="1" x14ac:dyDescent="0.3">
      <c r="A7" s="14" t="s">
        <v>17</v>
      </c>
      <c r="B7" s="13">
        <v>5</v>
      </c>
      <c r="C7" s="12">
        <v>1232</v>
      </c>
      <c r="D7" s="15" t="s">
        <v>55</v>
      </c>
      <c r="E7" s="12" t="s">
        <v>63</v>
      </c>
      <c r="F7" s="12">
        <v>1</v>
      </c>
    </row>
    <row r="8" spans="1:6" ht="39.75" customHeight="1" thickTop="1" thickBot="1" x14ac:dyDescent="0.3">
      <c r="A8" s="37">
        <v>1</v>
      </c>
      <c r="B8" s="13">
        <v>6</v>
      </c>
      <c r="C8" s="12">
        <v>6262</v>
      </c>
      <c r="D8" s="15" t="s">
        <v>56</v>
      </c>
      <c r="E8" s="12" t="s">
        <v>64</v>
      </c>
      <c r="F8" s="12">
        <v>2</v>
      </c>
    </row>
    <row r="9" spans="1:6" ht="39.75" customHeight="1" thickTop="1" x14ac:dyDescent="0.25">
      <c r="A9" s="7"/>
      <c r="B9" s="13">
        <v>7</v>
      </c>
      <c r="C9" s="12">
        <v>46844</v>
      </c>
      <c r="D9" s="15" t="s">
        <v>57</v>
      </c>
      <c r="E9" s="12" t="s">
        <v>65</v>
      </c>
      <c r="F9" s="12">
        <v>1</v>
      </c>
    </row>
    <row r="10" spans="1:6" ht="39.75" customHeight="1" thickBot="1" x14ac:dyDescent="0.3">
      <c r="A10" s="14" t="s">
        <v>94</v>
      </c>
      <c r="B10" s="13">
        <v>8</v>
      </c>
      <c r="C10" s="12">
        <v>26466</v>
      </c>
      <c r="D10" s="15" t="s">
        <v>58</v>
      </c>
      <c r="E10" s="12" t="s">
        <v>66</v>
      </c>
      <c r="F10" s="12">
        <v>2</v>
      </c>
    </row>
    <row r="11" spans="1:6" ht="39.75" customHeight="1" thickTop="1" thickBot="1" x14ac:dyDescent="0.3">
      <c r="A11" s="37">
        <v>3</v>
      </c>
      <c r="B11" s="13">
        <v>9</v>
      </c>
      <c r="C11" s="12"/>
      <c r="D11" s="15"/>
      <c r="E11" s="12"/>
      <c r="F11" s="12"/>
    </row>
    <row r="12" spans="1:6" ht="39.75" customHeight="1" thickTop="1" x14ac:dyDescent="0.25">
      <c r="B12" s="13">
        <v>10</v>
      </c>
      <c r="C12" s="12"/>
      <c r="D12" s="15"/>
      <c r="E12" s="12"/>
      <c r="F12" s="12"/>
    </row>
    <row r="13" spans="1:6" ht="39.75" customHeight="1" x14ac:dyDescent="0.25">
      <c r="A13" s="39" t="s">
        <v>18</v>
      </c>
      <c r="B13" s="13">
        <v>11</v>
      </c>
      <c r="C13" s="12"/>
      <c r="D13" s="15"/>
      <c r="E13" s="12"/>
      <c r="F13" s="12"/>
    </row>
    <row r="14" spans="1:6" ht="39.75" customHeight="1" x14ac:dyDescent="0.25">
      <c r="A14" s="40" t="s">
        <v>19</v>
      </c>
      <c r="B14" s="13">
        <v>12</v>
      </c>
      <c r="C14" s="12"/>
      <c r="D14" s="15"/>
      <c r="E14" s="12"/>
      <c r="F14" s="12"/>
    </row>
    <row r="15" spans="1:6" ht="39.75" customHeight="1" x14ac:dyDescent="0.25">
      <c r="A15" s="40" t="s">
        <v>20</v>
      </c>
      <c r="B15" s="13">
        <v>13</v>
      </c>
      <c r="C15" s="12"/>
      <c r="D15" s="15"/>
      <c r="E15" s="12"/>
      <c r="F15" s="12"/>
    </row>
    <row r="16" spans="1:6" ht="39.75" customHeight="1" x14ac:dyDescent="0.25">
      <c r="A16" s="40" t="s">
        <v>90</v>
      </c>
      <c r="B16" s="13">
        <v>14</v>
      </c>
      <c r="C16" s="12"/>
      <c r="D16" s="15"/>
      <c r="E16" s="12"/>
      <c r="F16" s="12"/>
    </row>
    <row r="17" spans="1:6" ht="39.75" customHeight="1" x14ac:dyDescent="0.25">
      <c r="A17" s="40" t="s">
        <v>68</v>
      </c>
      <c r="B17" s="13">
        <v>15</v>
      </c>
      <c r="C17" s="12"/>
      <c r="D17" s="15"/>
      <c r="E17" s="12"/>
      <c r="F17" s="12"/>
    </row>
    <row r="18" spans="1:6" ht="39.75" customHeight="1" x14ac:dyDescent="0.25">
      <c r="A18" s="40" t="s">
        <v>67</v>
      </c>
      <c r="B18" s="13">
        <v>16</v>
      </c>
      <c r="C18" s="12"/>
      <c r="D18" s="15"/>
      <c r="E18" s="12"/>
      <c r="F18" s="12"/>
    </row>
    <row r="19" spans="1:6" ht="39.75" customHeight="1" x14ac:dyDescent="0.25">
      <c r="A19" s="40" t="s">
        <v>69</v>
      </c>
      <c r="B19" s="13">
        <v>17</v>
      </c>
      <c r="C19" s="12"/>
      <c r="D19" s="15"/>
      <c r="E19" s="12"/>
      <c r="F19" s="12"/>
    </row>
    <row r="20" spans="1:6" ht="39.75" customHeight="1" x14ac:dyDescent="0.25">
      <c r="A20" s="40" t="s">
        <v>21</v>
      </c>
      <c r="B20" s="13">
        <v>18</v>
      </c>
      <c r="C20" s="12"/>
      <c r="D20" s="15"/>
      <c r="E20" s="12"/>
      <c r="F20" s="12"/>
    </row>
    <row r="21" spans="1:6" ht="39.75" customHeight="1" x14ac:dyDescent="0.25">
      <c r="A21" s="40" t="s">
        <v>70</v>
      </c>
      <c r="B21" s="13">
        <v>19</v>
      </c>
      <c r="C21" s="12"/>
      <c r="D21" s="15"/>
      <c r="E21" s="12"/>
      <c r="F21" s="12"/>
    </row>
    <row r="22" spans="1:6" ht="39.75" customHeight="1" x14ac:dyDescent="0.25">
      <c r="A22" s="83"/>
      <c r="B22" s="13">
        <v>20</v>
      </c>
      <c r="C22" s="12"/>
      <c r="D22" s="15"/>
      <c r="E22" s="12"/>
      <c r="F22" s="12"/>
    </row>
    <row r="23" spans="1:6" ht="39.75" customHeight="1" x14ac:dyDescent="0.25">
      <c r="A23" s="83"/>
      <c r="B23" s="13">
        <v>21</v>
      </c>
      <c r="C23" s="12"/>
      <c r="D23" s="15"/>
      <c r="E23" s="12"/>
      <c r="F23" s="12"/>
    </row>
    <row r="24" spans="1:6" ht="39.75" customHeight="1" x14ac:dyDescent="0.25">
      <c r="A24" s="84"/>
      <c r="B24" s="13">
        <v>22</v>
      </c>
      <c r="C24" s="12"/>
      <c r="D24" s="15"/>
      <c r="E24" s="12"/>
      <c r="F24" s="12"/>
    </row>
    <row r="25" spans="1:6" ht="39.75" customHeight="1" x14ac:dyDescent="0.25">
      <c r="A25" s="84"/>
      <c r="B25" s="13">
        <v>23</v>
      </c>
      <c r="C25" s="12"/>
      <c r="D25" s="15"/>
      <c r="E25" s="12"/>
      <c r="F25" s="12"/>
    </row>
    <row r="26" spans="1:6" ht="39.75" customHeight="1" x14ac:dyDescent="0.25">
      <c r="A26" s="9"/>
      <c r="B26" s="13">
        <v>24</v>
      </c>
      <c r="C26" s="12"/>
      <c r="D26" s="15"/>
      <c r="E26" s="12"/>
      <c r="F26" s="12"/>
    </row>
    <row r="27" spans="1:6" ht="39.75" customHeight="1" x14ac:dyDescent="0.25">
      <c r="A27" s="9"/>
      <c r="B27" s="13">
        <v>25</v>
      </c>
      <c r="C27" s="12"/>
      <c r="D27" s="15"/>
      <c r="E27" s="12"/>
      <c r="F27" s="12"/>
    </row>
    <row r="28" spans="1:6" ht="39.75" customHeight="1" x14ac:dyDescent="0.25">
      <c r="A28" s="9"/>
      <c r="B28" s="13">
        <v>26</v>
      </c>
      <c r="C28" s="12"/>
      <c r="D28" s="15"/>
      <c r="E28" s="12"/>
      <c r="F28" s="12"/>
    </row>
    <row r="29" spans="1:6" ht="39.75" customHeight="1" x14ac:dyDescent="0.25">
      <c r="A29" s="9"/>
      <c r="B29" s="13">
        <v>27</v>
      </c>
      <c r="C29" s="12"/>
      <c r="D29" s="15"/>
      <c r="E29" s="12"/>
      <c r="F29" s="12"/>
    </row>
    <row r="30" spans="1:6" ht="39.75" customHeight="1" x14ac:dyDescent="0.25">
      <c r="A30" s="9"/>
      <c r="B30" s="13">
        <v>28</v>
      </c>
      <c r="C30" s="12"/>
      <c r="D30" s="15"/>
      <c r="E30" s="12"/>
      <c r="F30" s="12"/>
    </row>
    <row r="31" spans="1:6" ht="39.75" customHeight="1" x14ac:dyDescent="0.25">
      <c r="A31" s="9"/>
      <c r="B31" s="13">
        <v>29</v>
      </c>
      <c r="C31" s="12"/>
      <c r="D31" s="15"/>
      <c r="E31" s="12"/>
      <c r="F31" s="12"/>
    </row>
    <row r="32" spans="1:6" ht="39.75" customHeight="1" x14ac:dyDescent="0.25">
      <c r="A32" s="9"/>
      <c r="B32" s="13">
        <v>30</v>
      </c>
      <c r="C32" s="12"/>
      <c r="D32" s="15"/>
      <c r="E32" s="12"/>
      <c r="F32" s="12"/>
    </row>
    <row r="33" spans="1:6" ht="39.75" customHeight="1" x14ac:dyDescent="0.25">
      <c r="A33" s="9"/>
      <c r="B33" s="13">
        <v>31</v>
      </c>
      <c r="C33" s="12"/>
      <c r="D33" s="15"/>
      <c r="E33" s="12"/>
      <c r="F33" s="12"/>
    </row>
    <row r="34" spans="1:6" ht="39.75" customHeight="1" x14ac:dyDescent="0.25">
      <c r="A34" s="9"/>
      <c r="B34" s="13">
        <v>32</v>
      </c>
      <c r="C34" s="12"/>
      <c r="D34" s="15"/>
      <c r="E34" s="12"/>
      <c r="F34" s="12"/>
    </row>
    <row r="35" spans="1:6" ht="39.75" customHeight="1" x14ac:dyDescent="0.25">
      <c r="A35" s="9"/>
      <c r="B35" s="13">
        <v>33</v>
      </c>
      <c r="C35" s="12"/>
      <c r="D35" s="15"/>
      <c r="E35" s="12"/>
      <c r="F35" s="12"/>
    </row>
    <row r="36" spans="1:6" ht="39.75" customHeight="1" x14ac:dyDescent="0.25">
      <c r="A36" s="9"/>
      <c r="B36" s="13">
        <v>34</v>
      </c>
      <c r="C36" s="12"/>
      <c r="D36" s="15"/>
      <c r="E36" s="12"/>
      <c r="F36" s="12"/>
    </row>
    <row r="37" spans="1:6" ht="39.75" customHeight="1" x14ac:dyDescent="0.25">
      <c r="A37" s="9"/>
      <c r="B37" s="13">
        <v>35</v>
      </c>
      <c r="C37" s="12"/>
      <c r="D37" s="15"/>
      <c r="E37" s="12"/>
      <c r="F37" s="12"/>
    </row>
    <row r="38" spans="1:6" ht="39.75" customHeight="1" x14ac:dyDescent="0.25">
      <c r="A38" s="9"/>
      <c r="B38" s="13">
        <v>36</v>
      </c>
      <c r="C38" s="12"/>
      <c r="D38" s="15"/>
      <c r="E38" s="12"/>
      <c r="F38" s="12"/>
    </row>
    <row r="39" spans="1:6" ht="39.75" customHeight="1" x14ac:dyDescent="0.25">
      <c r="A39" s="9"/>
      <c r="B39" s="13">
        <v>37</v>
      </c>
      <c r="C39" s="12"/>
      <c r="D39" s="15"/>
      <c r="E39" s="12"/>
      <c r="F39" s="12"/>
    </row>
    <row r="40" spans="1:6" ht="39.75" customHeight="1" x14ac:dyDescent="0.25">
      <c r="A40" s="9"/>
      <c r="B40" s="13">
        <v>38</v>
      </c>
      <c r="C40" s="12"/>
      <c r="D40" s="15"/>
      <c r="E40" s="12"/>
      <c r="F40" s="12"/>
    </row>
    <row r="41" spans="1:6" ht="39.75" customHeight="1" x14ac:dyDescent="0.25">
      <c r="A41" s="9"/>
      <c r="B41" s="13">
        <v>39</v>
      </c>
      <c r="C41" s="12"/>
      <c r="D41" s="15"/>
      <c r="E41" s="12"/>
      <c r="F41" s="12"/>
    </row>
    <row r="42" spans="1:6" ht="39.75" customHeight="1" x14ac:dyDescent="0.25">
      <c r="A42" s="9"/>
      <c r="B42" s="13">
        <v>40</v>
      </c>
      <c r="C42" s="12"/>
      <c r="D42" s="15"/>
      <c r="E42" s="12"/>
      <c r="F42" s="12"/>
    </row>
    <row r="43" spans="1:6" ht="39.75" customHeight="1" x14ac:dyDescent="0.25">
      <c r="A43" s="9"/>
      <c r="B43" s="13">
        <v>41</v>
      </c>
      <c r="C43" s="12"/>
      <c r="D43" s="15"/>
      <c r="E43" s="12"/>
      <c r="F43" s="12"/>
    </row>
    <row r="44" spans="1:6" ht="39.75" customHeight="1" x14ac:dyDescent="0.25">
      <c r="A44" s="9"/>
      <c r="B44" s="13">
        <v>42</v>
      </c>
      <c r="C44" s="12"/>
      <c r="D44" s="15"/>
      <c r="E44" s="12"/>
      <c r="F44" s="12"/>
    </row>
    <row r="45" spans="1:6" ht="39.75" customHeight="1" x14ac:dyDescent="0.25">
      <c r="A45" s="9"/>
      <c r="B45" s="13">
        <v>43</v>
      </c>
      <c r="C45" s="12"/>
      <c r="D45" s="15"/>
      <c r="E45" s="12"/>
      <c r="F45" s="12"/>
    </row>
    <row r="46" spans="1:6" ht="39.75" customHeight="1" x14ac:dyDescent="0.25">
      <c r="A46" s="9"/>
      <c r="B46" s="13">
        <v>44</v>
      </c>
      <c r="C46" s="12"/>
      <c r="D46" s="15"/>
      <c r="E46" s="12"/>
      <c r="F46" s="12"/>
    </row>
    <row r="47" spans="1:6" ht="39.75" customHeight="1" x14ac:dyDescent="0.25">
      <c r="A47" s="9"/>
      <c r="B47" s="13">
        <v>45</v>
      </c>
      <c r="C47" s="12"/>
      <c r="D47" s="15"/>
      <c r="E47" s="12"/>
      <c r="F47" s="12"/>
    </row>
    <row r="48" spans="1:6" ht="39.75" customHeight="1" x14ac:dyDescent="0.25">
      <c r="A48" s="9"/>
      <c r="B48" s="13">
        <v>46</v>
      </c>
      <c r="C48" s="12"/>
      <c r="D48" s="15"/>
      <c r="E48" s="12"/>
      <c r="F48" s="12"/>
    </row>
    <row r="49" spans="1:6" ht="39.75" customHeight="1" x14ac:dyDescent="0.25">
      <c r="A49" s="9"/>
      <c r="B49" s="13">
        <v>47</v>
      </c>
      <c r="C49" s="12"/>
      <c r="D49" s="15"/>
      <c r="E49" s="12"/>
      <c r="F49" s="12"/>
    </row>
    <row r="50" spans="1:6" ht="39.75" customHeight="1" x14ac:dyDescent="0.25">
      <c r="A50" s="9"/>
      <c r="B50" s="13">
        <v>48</v>
      </c>
      <c r="C50" s="12"/>
      <c r="D50" s="15"/>
      <c r="E50" s="12"/>
      <c r="F50" s="12"/>
    </row>
    <row r="51" spans="1:6" ht="39.75" customHeight="1" x14ac:dyDescent="0.25">
      <c r="A51" s="9"/>
      <c r="B51" s="13">
        <v>49</v>
      </c>
      <c r="C51" s="12"/>
      <c r="D51" s="15"/>
      <c r="E51" s="12"/>
      <c r="F51" s="12"/>
    </row>
    <row r="52" spans="1:6" ht="39.75" customHeight="1" x14ac:dyDescent="0.25">
      <c r="A52" s="9"/>
      <c r="B52" s="13">
        <v>50</v>
      </c>
      <c r="C52" s="12"/>
      <c r="D52" s="15"/>
      <c r="E52" s="12"/>
      <c r="F52" s="12"/>
    </row>
    <row r="53" spans="1:6" ht="39.75" customHeight="1" x14ac:dyDescent="0.25">
      <c r="A53" s="9"/>
      <c r="B53" s="13">
        <v>51</v>
      </c>
      <c r="C53" s="12"/>
      <c r="D53" s="15"/>
      <c r="E53" s="12"/>
      <c r="F53" s="12"/>
    </row>
    <row r="54" spans="1:6" ht="39.75" customHeight="1" x14ac:dyDescent="0.25">
      <c r="A54" s="9"/>
      <c r="B54" s="13">
        <v>52</v>
      </c>
      <c r="C54" s="12"/>
      <c r="D54" s="15"/>
      <c r="E54" s="12"/>
      <c r="F54" s="12"/>
    </row>
    <row r="55" spans="1:6" ht="39.75" customHeight="1" x14ac:dyDescent="0.25">
      <c r="A55" s="9"/>
      <c r="B55" s="13">
        <v>53</v>
      </c>
      <c r="C55" s="12"/>
      <c r="D55" s="15"/>
      <c r="E55" s="12"/>
      <c r="F55" s="12"/>
    </row>
    <row r="56" spans="1:6" ht="39.75" customHeight="1" x14ac:dyDescent="0.25">
      <c r="A56" s="9"/>
      <c r="B56" s="13">
        <v>54</v>
      </c>
      <c r="C56" s="12"/>
      <c r="D56" s="15"/>
      <c r="E56" s="12"/>
      <c r="F56" s="12"/>
    </row>
    <row r="57" spans="1:6" ht="39.75" customHeight="1" x14ac:dyDescent="0.25">
      <c r="A57" s="9"/>
      <c r="B57" s="13">
        <v>55</v>
      </c>
      <c r="C57" s="12"/>
      <c r="D57" s="15"/>
      <c r="E57" s="12"/>
      <c r="F57" s="12"/>
    </row>
    <row r="58" spans="1:6" ht="39.75" customHeight="1" x14ac:dyDescent="0.25">
      <c r="A58" s="9"/>
      <c r="B58" s="13">
        <v>56</v>
      </c>
      <c r="C58" s="12"/>
      <c r="D58" s="15"/>
      <c r="E58" s="12"/>
      <c r="F58" s="12"/>
    </row>
    <row r="59" spans="1:6" ht="39.75" customHeight="1" x14ac:dyDescent="0.25">
      <c r="A59" s="9"/>
      <c r="B59" s="13">
        <v>57</v>
      </c>
      <c r="C59" s="12"/>
      <c r="D59" s="15"/>
      <c r="E59" s="12"/>
      <c r="F59" s="12"/>
    </row>
    <row r="60" spans="1:6" ht="39.75" customHeight="1" x14ac:dyDescent="0.25">
      <c r="A60" s="9"/>
      <c r="B60" s="13">
        <v>58</v>
      </c>
      <c r="C60" s="12"/>
      <c r="D60" s="15"/>
      <c r="E60" s="12"/>
      <c r="F60" s="12"/>
    </row>
    <row r="61" spans="1:6" ht="39.75" customHeight="1" x14ac:dyDescent="0.25">
      <c r="A61" s="9"/>
      <c r="B61" s="13">
        <v>59</v>
      </c>
      <c r="C61" s="12"/>
      <c r="D61" s="15"/>
      <c r="E61" s="12"/>
      <c r="F61" s="12"/>
    </row>
    <row r="62" spans="1:6" ht="39.75" customHeight="1" x14ac:dyDescent="0.25">
      <c r="A62" s="9"/>
      <c r="B62" s="13">
        <v>60</v>
      </c>
      <c r="C62" s="12"/>
      <c r="D62" s="15"/>
      <c r="E62" s="12"/>
      <c r="F62" s="12"/>
    </row>
    <row r="63" spans="1:6" ht="39.75" customHeight="1" x14ac:dyDescent="0.25">
      <c r="A63" s="9"/>
      <c r="B63" s="13">
        <v>61</v>
      </c>
      <c r="C63" s="12"/>
      <c r="D63" s="15"/>
      <c r="E63" s="12"/>
      <c r="F63" s="12"/>
    </row>
    <row r="64" spans="1:6" ht="39.75" customHeight="1" x14ac:dyDescent="0.25">
      <c r="A64" s="9"/>
      <c r="B64" s="13">
        <v>62</v>
      </c>
      <c r="C64" s="12"/>
      <c r="D64" s="15"/>
      <c r="E64" s="12"/>
      <c r="F64" s="12"/>
    </row>
    <row r="65" spans="1:6" ht="39.75" customHeight="1" x14ac:dyDescent="0.25">
      <c r="A65" s="9"/>
      <c r="B65" s="13">
        <v>63</v>
      </c>
      <c r="C65" s="12"/>
      <c r="D65" s="15"/>
      <c r="E65" s="12"/>
      <c r="F65" s="12"/>
    </row>
    <row r="66" spans="1:6" ht="39.75" customHeight="1" x14ac:dyDescent="0.25">
      <c r="A66" s="9"/>
      <c r="B66" s="13">
        <v>64</v>
      </c>
      <c r="C66" s="12"/>
      <c r="D66" s="15"/>
      <c r="E66" s="12"/>
      <c r="F66" s="12"/>
    </row>
    <row r="67" spans="1:6" ht="39.75" customHeight="1" x14ac:dyDescent="0.25">
      <c r="A67" s="9"/>
      <c r="B67" s="13">
        <v>65</v>
      </c>
      <c r="C67" s="12"/>
      <c r="D67" s="15"/>
      <c r="E67" s="12"/>
      <c r="F67" s="12"/>
    </row>
    <row r="68" spans="1:6" ht="39.75" customHeight="1" x14ac:dyDescent="0.25">
      <c r="A68" s="9"/>
      <c r="B68" s="13">
        <v>66</v>
      </c>
      <c r="C68" s="12"/>
      <c r="D68" s="15"/>
      <c r="E68" s="12"/>
      <c r="F68" s="12"/>
    </row>
    <row r="69" spans="1:6" ht="39.75" customHeight="1" x14ac:dyDescent="0.25">
      <c r="A69" s="9"/>
      <c r="B69" s="13">
        <v>67</v>
      </c>
      <c r="C69" s="12"/>
      <c r="D69" s="15"/>
      <c r="E69" s="12"/>
      <c r="F69" s="12"/>
    </row>
    <row r="70" spans="1:6" ht="39.75" customHeight="1" x14ac:dyDescent="0.25">
      <c r="A70" s="9"/>
      <c r="B70" s="13">
        <v>68</v>
      </c>
      <c r="C70" s="12"/>
      <c r="D70" s="15"/>
      <c r="E70" s="12"/>
      <c r="F70" s="12"/>
    </row>
    <row r="71" spans="1:6" ht="39.75" customHeight="1" x14ac:dyDescent="0.25">
      <c r="A71" s="9"/>
      <c r="B71" s="13">
        <v>69</v>
      </c>
      <c r="C71" s="12"/>
      <c r="D71" s="15"/>
      <c r="E71" s="12"/>
      <c r="F71" s="12"/>
    </row>
    <row r="72" spans="1:6" ht="39.75" customHeight="1" x14ac:dyDescent="0.25">
      <c r="A72" s="9"/>
      <c r="B72" s="13">
        <v>70</v>
      </c>
      <c r="C72" s="12"/>
      <c r="D72" s="15"/>
      <c r="E72" s="12"/>
      <c r="F72" s="12"/>
    </row>
    <row r="73" spans="1:6" ht="39.75" customHeight="1" x14ac:dyDescent="0.25">
      <c r="A73" s="9"/>
      <c r="B73" s="13">
        <v>71</v>
      </c>
      <c r="C73" s="12"/>
      <c r="D73" s="15"/>
      <c r="E73" s="12"/>
      <c r="F73" s="12"/>
    </row>
    <row r="74" spans="1:6" ht="39.75" customHeight="1" x14ac:dyDescent="0.25">
      <c r="A74" s="9"/>
      <c r="B74" s="13">
        <v>72</v>
      </c>
      <c r="C74" s="12"/>
      <c r="D74" s="15"/>
      <c r="E74" s="12"/>
      <c r="F74" s="12"/>
    </row>
    <row r="75" spans="1:6" ht="39.75" customHeight="1" x14ac:dyDescent="0.25">
      <c r="A75" s="9"/>
      <c r="B75" s="13">
        <v>73</v>
      </c>
      <c r="C75" s="12"/>
      <c r="D75" s="15"/>
      <c r="E75" s="12"/>
      <c r="F75" s="12"/>
    </row>
    <row r="76" spans="1:6" ht="39.75" customHeight="1" x14ac:dyDescent="0.25">
      <c r="A76" s="9"/>
      <c r="B76" s="13">
        <v>74</v>
      </c>
      <c r="C76" s="12"/>
      <c r="D76" s="15"/>
      <c r="E76" s="12"/>
      <c r="F76" s="12"/>
    </row>
    <row r="77" spans="1:6" ht="39.75" customHeight="1" x14ac:dyDescent="0.25">
      <c r="A77" s="9"/>
      <c r="B77" s="13">
        <v>75</v>
      </c>
      <c r="C77" s="12"/>
      <c r="D77" s="15"/>
      <c r="E77" s="12"/>
      <c r="F77" s="12"/>
    </row>
    <row r="78" spans="1:6" ht="39.75" customHeight="1" x14ac:dyDescent="0.25">
      <c r="A78" s="9"/>
      <c r="B78" s="13">
        <v>76</v>
      </c>
      <c r="C78" s="12"/>
      <c r="D78" s="15"/>
      <c r="E78" s="12"/>
      <c r="F78" s="12"/>
    </row>
    <row r="79" spans="1:6" ht="39.75" customHeight="1" x14ac:dyDescent="0.25">
      <c r="A79" s="9"/>
      <c r="B79" s="13">
        <v>77</v>
      </c>
      <c r="C79" s="12"/>
      <c r="D79" s="15"/>
      <c r="E79" s="12"/>
      <c r="F79" s="12"/>
    </row>
    <row r="80" spans="1:6" ht="39.75" customHeight="1" x14ac:dyDescent="0.25">
      <c r="A80" s="9"/>
      <c r="B80" s="13">
        <v>78</v>
      </c>
      <c r="C80" s="12"/>
      <c r="D80" s="15"/>
      <c r="E80" s="12"/>
      <c r="F80" s="12"/>
    </row>
    <row r="81" spans="1:6" ht="39.75" customHeight="1" x14ac:dyDescent="0.25">
      <c r="A81" s="9"/>
      <c r="B81" s="13">
        <v>79</v>
      </c>
      <c r="C81" s="12"/>
      <c r="D81" s="15"/>
      <c r="E81" s="12"/>
      <c r="F81" s="12"/>
    </row>
    <row r="82" spans="1:6" ht="39.75" customHeight="1" x14ac:dyDescent="0.25">
      <c r="A82" s="9"/>
      <c r="B82" s="13">
        <v>80</v>
      </c>
      <c r="C82" s="12"/>
      <c r="D82" s="15"/>
      <c r="E82" s="12"/>
      <c r="F82" s="12"/>
    </row>
    <row r="83" spans="1:6" ht="39.75" customHeight="1" x14ac:dyDescent="0.25">
      <c r="A83" s="9"/>
      <c r="B83" s="13">
        <v>81</v>
      </c>
      <c r="C83" s="12"/>
      <c r="D83" s="15"/>
      <c r="E83" s="12"/>
      <c r="F83" s="12"/>
    </row>
    <row r="84" spans="1:6" ht="39.75" customHeight="1" x14ac:dyDescent="0.25">
      <c r="A84" s="9"/>
      <c r="B84" s="13">
        <v>82</v>
      </c>
      <c r="C84" s="12"/>
      <c r="D84" s="15"/>
      <c r="E84" s="12"/>
      <c r="F84" s="12"/>
    </row>
    <row r="85" spans="1:6" ht="39.75" customHeight="1" x14ac:dyDescent="0.25">
      <c r="A85" s="9"/>
      <c r="B85" s="13">
        <v>83</v>
      </c>
      <c r="C85" s="12"/>
      <c r="D85" s="15"/>
      <c r="E85" s="12"/>
      <c r="F85" s="12"/>
    </row>
    <row r="86" spans="1:6" ht="39.75" customHeight="1" x14ac:dyDescent="0.25">
      <c r="A86" s="9"/>
      <c r="B86" s="13">
        <v>84</v>
      </c>
      <c r="C86" s="12"/>
      <c r="D86" s="15"/>
      <c r="E86" s="12"/>
      <c r="F86" s="12"/>
    </row>
    <row r="87" spans="1:6" ht="39.75" customHeight="1" x14ac:dyDescent="0.25">
      <c r="A87" s="9"/>
      <c r="B87" s="13">
        <v>85</v>
      </c>
      <c r="C87" s="12"/>
      <c r="D87" s="15"/>
      <c r="E87" s="12"/>
      <c r="F87" s="12"/>
    </row>
    <row r="88" spans="1:6" ht="39.75" customHeight="1" x14ac:dyDescent="0.25">
      <c r="A88" s="9"/>
      <c r="B88" s="13">
        <v>86</v>
      </c>
      <c r="C88" s="12"/>
      <c r="D88" s="15"/>
      <c r="E88" s="12"/>
      <c r="F88" s="12"/>
    </row>
    <row r="89" spans="1:6" ht="39.75" customHeight="1" x14ac:dyDescent="0.25">
      <c r="A89" s="9"/>
      <c r="B89" s="13">
        <v>87</v>
      </c>
      <c r="C89" s="12"/>
      <c r="D89" s="15"/>
      <c r="E89" s="12"/>
      <c r="F89" s="12"/>
    </row>
    <row r="90" spans="1:6" ht="39.75" customHeight="1" x14ac:dyDescent="0.25">
      <c r="A90" s="9"/>
      <c r="B90" s="13">
        <v>88</v>
      </c>
      <c r="C90" s="12"/>
      <c r="D90" s="15"/>
      <c r="E90" s="12"/>
      <c r="F90" s="12"/>
    </row>
    <row r="91" spans="1:6" ht="39.75" customHeight="1" x14ac:dyDescent="0.25">
      <c r="A91" s="9"/>
      <c r="B91" s="13">
        <v>89</v>
      </c>
      <c r="C91" s="12"/>
      <c r="D91" s="15"/>
      <c r="E91" s="12"/>
      <c r="F91" s="12"/>
    </row>
    <row r="92" spans="1:6" ht="39.75" customHeight="1" x14ac:dyDescent="0.25">
      <c r="A92" s="9"/>
      <c r="B92" s="13">
        <v>90</v>
      </c>
      <c r="C92" s="12"/>
      <c r="D92" s="15"/>
      <c r="E92" s="12"/>
      <c r="F92" s="12"/>
    </row>
    <row r="93" spans="1:6" ht="39.75" customHeight="1" x14ac:dyDescent="0.25">
      <c r="A93" s="9"/>
      <c r="B93" s="13">
        <v>91</v>
      </c>
      <c r="C93" s="12"/>
      <c r="D93" s="15"/>
      <c r="E93" s="12"/>
      <c r="F93" s="12"/>
    </row>
    <row r="94" spans="1:6" ht="39.75" customHeight="1" x14ac:dyDescent="0.25">
      <c r="A94" s="9"/>
      <c r="B94" s="13">
        <v>92</v>
      </c>
      <c r="C94" s="12"/>
      <c r="D94" s="15"/>
      <c r="E94" s="12"/>
      <c r="F94" s="12"/>
    </row>
    <row r="95" spans="1:6" ht="39.75" customHeight="1" x14ac:dyDescent="0.25">
      <c r="A95" s="9"/>
      <c r="B95" s="13">
        <v>93</v>
      </c>
      <c r="C95" s="12"/>
      <c r="D95" s="15"/>
      <c r="E95" s="12"/>
      <c r="F95" s="12"/>
    </row>
    <row r="96" spans="1:6" ht="39.75" customHeight="1" x14ac:dyDescent="0.25">
      <c r="A96" s="7"/>
      <c r="B96" s="13">
        <v>94</v>
      </c>
      <c r="C96" s="12"/>
      <c r="D96" s="15"/>
      <c r="E96" s="12"/>
      <c r="F96" s="12"/>
    </row>
    <row r="97" spans="1:6" ht="39.75" customHeight="1" x14ac:dyDescent="0.25">
      <c r="A97" s="7"/>
      <c r="B97" s="13">
        <v>95</v>
      </c>
      <c r="C97" s="12"/>
      <c r="D97" s="15"/>
      <c r="E97" s="12"/>
      <c r="F97" s="12"/>
    </row>
    <row r="98" spans="1:6" ht="39.75" customHeight="1" x14ac:dyDescent="0.25">
      <c r="A98" s="7"/>
      <c r="B98" s="13">
        <v>96</v>
      </c>
      <c r="C98" s="12"/>
      <c r="D98" s="15"/>
      <c r="E98" s="12"/>
      <c r="F98" s="12"/>
    </row>
    <row r="99" spans="1:6" ht="39.75" customHeight="1" x14ac:dyDescent="0.25">
      <c r="A99" s="7"/>
      <c r="B99" s="13">
        <v>97</v>
      </c>
      <c r="C99" s="12"/>
      <c r="D99" s="15"/>
      <c r="E99" s="12"/>
      <c r="F99" s="12"/>
    </row>
    <row r="100" spans="1:6" ht="39.75" customHeight="1" x14ac:dyDescent="0.25">
      <c r="A100" s="7"/>
      <c r="B100" s="13">
        <v>98</v>
      </c>
      <c r="C100" s="12"/>
      <c r="D100" s="15"/>
      <c r="E100" s="12"/>
      <c r="F100" s="12"/>
    </row>
    <row r="101" spans="1:6" ht="39.75" customHeight="1" x14ac:dyDescent="0.25">
      <c r="A101" s="7"/>
      <c r="B101" s="13">
        <v>99</v>
      </c>
      <c r="C101" s="12"/>
      <c r="D101" s="15"/>
      <c r="E101" s="12"/>
      <c r="F101" s="12"/>
    </row>
    <row r="102" spans="1:6" ht="39.75" customHeight="1" x14ac:dyDescent="0.25">
      <c r="A102" s="7"/>
      <c r="B102" s="13">
        <v>100</v>
      </c>
      <c r="C102" s="12"/>
      <c r="D102" s="15"/>
      <c r="E102" s="12"/>
      <c r="F102" s="12"/>
    </row>
    <row r="103" spans="1:6" ht="39.75" customHeight="1" x14ac:dyDescent="0.25">
      <c r="A103" s="7"/>
      <c r="B103" s="13">
        <v>101</v>
      </c>
      <c r="C103" s="12"/>
      <c r="D103" s="15"/>
      <c r="E103" s="12"/>
      <c r="F103" s="12"/>
    </row>
    <row r="104" spans="1:6" ht="39.75" customHeight="1" x14ac:dyDescent="0.25">
      <c r="A104" s="7"/>
      <c r="B104" s="13">
        <v>102</v>
      </c>
      <c r="C104" s="12"/>
      <c r="D104" s="15"/>
      <c r="E104" s="12"/>
      <c r="F104" s="12"/>
    </row>
    <row r="105" spans="1:6" ht="39.75" customHeight="1" x14ac:dyDescent="0.25">
      <c r="A105" s="7"/>
      <c r="B105" s="13">
        <v>103</v>
      </c>
      <c r="C105" s="12"/>
      <c r="D105" s="15"/>
      <c r="E105" s="12"/>
      <c r="F105" s="12"/>
    </row>
    <row r="106" spans="1:6" ht="39.75" customHeight="1" x14ac:dyDescent="0.25">
      <c r="A106" s="7"/>
      <c r="B106" s="13">
        <v>104</v>
      </c>
      <c r="C106" s="12"/>
      <c r="D106" s="15"/>
      <c r="E106" s="12"/>
      <c r="F106" s="12"/>
    </row>
    <row r="107" spans="1:6" ht="39.75" customHeight="1" x14ac:dyDescent="0.25">
      <c r="A107" s="7"/>
      <c r="B107" s="13">
        <v>105</v>
      </c>
      <c r="C107" s="12"/>
      <c r="D107" s="15"/>
      <c r="E107" s="12"/>
      <c r="F107" s="12"/>
    </row>
    <row r="108" spans="1:6" ht="39.75" customHeight="1" x14ac:dyDescent="0.25">
      <c r="A108" s="7"/>
      <c r="B108" s="13">
        <v>106</v>
      </c>
      <c r="C108" s="12"/>
      <c r="D108" s="15"/>
      <c r="E108" s="12"/>
      <c r="F108" s="12"/>
    </row>
    <row r="109" spans="1:6" ht="39.75" customHeight="1" x14ac:dyDescent="0.25">
      <c r="A109" s="7"/>
      <c r="B109" s="13">
        <v>107</v>
      </c>
      <c r="C109" s="12"/>
      <c r="D109" s="15"/>
      <c r="E109" s="12"/>
      <c r="F109" s="12"/>
    </row>
    <row r="110" spans="1:6" ht="39.75" customHeight="1" x14ac:dyDescent="0.25">
      <c r="A110" s="7"/>
      <c r="B110" s="13">
        <v>108</v>
      </c>
      <c r="C110" s="12"/>
      <c r="D110" s="15"/>
      <c r="E110" s="12"/>
      <c r="F110" s="12"/>
    </row>
    <row r="111" spans="1:6" ht="39.75" customHeight="1" x14ac:dyDescent="0.25">
      <c r="A111" s="7"/>
      <c r="B111" s="13">
        <v>109</v>
      </c>
      <c r="C111" s="12"/>
      <c r="D111" s="15"/>
      <c r="E111" s="12"/>
      <c r="F111" s="12"/>
    </row>
    <row r="112" spans="1:6" ht="39.75" customHeight="1" x14ac:dyDescent="0.25">
      <c r="A112" s="7"/>
      <c r="B112" s="13">
        <v>110</v>
      </c>
      <c r="C112" s="12"/>
      <c r="D112" s="15"/>
      <c r="E112" s="12"/>
      <c r="F112" s="12"/>
    </row>
    <row r="113" spans="1:6" ht="39.75" customHeight="1" x14ac:dyDescent="0.25">
      <c r="A113" s="7"/>
      <c r="B113" s="13">
        <v>111</v>
      </c>
      <c r="C113" s="12"/>
      <c r="D113" s="15"/>
      <c r="E113" s="12"/>
      <c r="F113" s="12"/>
    </row>
    <row r="114" spans="1:6" ht="39.75" customHeight="1" x14ac:dyDescent="0.25">
      <c r="A114" s="7"/>
      <c r="B114" s="13">
        <v>112</v>
      </c>
      <c r="C114" s="12"/>
      <c r="D114" s="15"/>
      <c r="E114" s="12"/>
      <c r="F114" s="12"/>
    </row>
    <row r="115" spans="1:6" ht="39.75" customHeight="1" x14ac:dyDescent="0.25">
      <c r="A115" s="7"/>
      <c r="B115" s="13">
        <v>113</v>
      </c>
      <c r="C115" s="12"/>
      <c r="D115" s="15"/>
      <c r="E115" s="12"/>
      <c r="F115" s="12"/>
    </row>
    <row r="116" spans="1:6" ht="39.75" customHeight="1" x14ac:dyDescent="0.25">
      <c r="A116" s="7"/>
      <c r="B116" s="13">
        <v>114</v>
      </c>
      <c r="C116" s="12"/>
      <c r="D116" s="15"/>
      <c r="E116" s="12"/>
      <c r="F116" s="12"/>
    </row>
    <row r="117" spans="1:6" ht="39.75" customHeight="1" x14ac:dyDescent="0.25">
      <c r="A117" s="7"/>
      <c r="B117" s="13">
        <v>115</v>
      </c>
      <c r="C117" s="12"/>
      <c r="D117" s="15"/>
      <c r="E117" s="12"/>
      <c r="F117" s="12"/>
    </row>
    <row r="118" spans="1:6" ht="39.75" customHeight="1" x14ac:dyDescent="0.25">
      <c r="A118" s="7"/>
      <c r="B118" s="13">
        <v>116</v>
      </c>
      <c r="C118" s="12"/>
      <c r="D118" s="15"/>
      <c r="E118" s="12"/>
      <c r="F118" s="12"/>
    </row>
    <row r="119" spans="1:6" ht="39.75" customHeight="1" x14ac:dyDescent="0.25">
      <c r="A119" s="7"/>
      <c r="B119" s="13">
        <v>117</v>
      </c>
      <c r="C119" s="12"/>
      <c r="D119" s="15"/>
      <c r="E119" s="12"/>
      <c r="F119" s="12"/>
    </row>
    <row r="120" spans="1:6" ht="39.75" customHeight="1" x14ac:dyDescent="0.25">
      <c r="A120" s="7"/>
      <c r="B120" s="13">
        <v>118</v>
      </c>
      <c r="C120" s="12"/>
      <c r="D120" s="15"/>
      <c r="E120" s="12"/>
      <c r="F120" s="12"/>
    </row>
    <row r="121" spans="1:6" ht="39.75" customHeight="1" x14ac:dyDescent="0.25">
      <c r="A121" s="7"/>
      <c r="B121" s="13">
        <v>119</v>
      </c>
      <c r="C121" s="12"/>
      <c r="D121" s="15"/>
      <c r="E121" s="12"/>
      <c r="F121" s="12"/>
    </row>
    <row r="122" spans="1:6" ht="39.75" customHeight="1" x14ac:dyDescent="0.25">
      <c r="A122" s="7"/>
      <c r="B122" s="13">
        <v>120</v>
      </c>
      <c r="C122" s="12"/>
      <c r="D122" s="15"/>
      <c r="E122" s="12"/>
      <c r="F122" s="12"/>
    </row>
    <row r="123" spans="1:6" ht="39.75" customHeight="1" x14ac:dyDescent="0.25">
      <c r="A123" s="7"/>
      <c r="B123" s="13">
        <v>121</v>
      </c>
      <c r="C123" s="12"/>
      <c r="D123" s="15"/>
      <c r="E123" s="12"/>
      <c r="F123" s="12"/>
    </row>
    <row r="124" spans="1:6" ht="39.75" customHeight="1" x14ac:dyDescent="0.25">
      <c r="A124" s="7"/>
      <c r="B124" s="13">
        <v>122</v>
      </c>
      <c r="C124" s="12"/>
      <c r="D124" s="15"/>
      <c r="E124" s="12"/>
      <c r="F124" s="12"/>
    </row>
    <row r="125" spans="1:6" ht="39.75" customHeight="1" x14ac:dyDescent="0.25">
      <c r="A125" s="7"/>
      <c r="B125" s="13">
        <v>123</v>
      </c>
      <c r="C125" s="12"/>
      <c r="D125" s="15"/>
      <c r="E125" s="12"/>
      <c r="F125" s="12"/>
    </row>
    <row r="126" spans="1:6" ht="39.75" customHeight="1" x14ac:dyDescent="0.25">
      <c r="A126" s="7"/>
      <c r="B126" s="13">
        <v>124</v>
      </c>
      <c r="C126" s="12"/>
      <c r="D126" s="15"/>
      <c r="E126" s="12"/>
      <c r="F126" s="12"/>
    </row>
    <row r="127" spans="1:6" ht="39.75" customHeight="1" x14ac:dyDescent="0.25">
      <c r="A127" s="7"/>
      <c r="B127" s="13">
        <v>125</v>
      </c>
      <c r="C127" s="12"/>
      <c r="D127" s="15"/>
      <c r="E127" s="12"/>
      <c r="F127" s="12"/>
    </row>
    <row r="128" spans="1:6" ht="39.75" customHeight="1" x14ac:dyDescent="0.25">
      <c r="A128" s="7"/>
      <c r="B128" s="13">
        <v>126</v>
      </c>
      <c r="C128" s="12"/>
      <c r="D128" s="15"/>
      <c r="E128" s="12"/>
      <c r="F128" s="12"/>
    </row>
    <row r="129" spans="1:6" ht="39.75" customHeight="1" x14ac:dyDescent="0.25">
      <c r="A129" s="7"/>
      <c r="B129" s="13">
        <v>127</v>
      </c>
      <c r="C129" s="12"/>
      <c r="D129" s="15"/>
      <c r="E129" s="12"/>
      <c r="F129" s="12"/>
    </row>
    <row r="130" spans="1:6" ht="39.75" customHeight="1" x14ac:dyDescent="0.25">
      <c r="A130" s="7"/>
      <c r="B130" s="13">
        <v>128</v>
      </c>
      <c r="C130" s="12"/>
      <c r="D130" s="15"/>
      <c r="E130" s="12"/>
      <c r="F130" s="12"/>
    </row>
    <row r="131" spans="1:6" ht="39.75" customHeight="1" x14ac:dyDescent="0.25">
      <c r="A131" s="7"/>
      <c r="B131" s="13">
        <v>129</v>
      </c>
      <c r="C131" s="12"/>
      <c r="D131" s="15"/>
      <c r="E131" s="12"/>
      <c r="F131" s="12"/>
    </row>
    <row r="132" spans="1:6" ht="39.75" customHeight="1" x14ac:dyDescent="0.25">
      <c r="A132" s="7"/>
      <c r="B132" s="13">
        <v>130</v>
      </c>
      <c r="C132" s="12"/>
      <c r="D132" s="15"/>
      <c r="E132" s="12"/>
      <c r="F132" s="12"/>
    </row>
    <row r="133" spans="1:6" ht="39.75" customHeight="1" x14ac:dyDescent="0.25">
      <c r="A133" s="7"/>
      <c r="B133" s="13">
        <v>131</v>
      </c>
      <c r="C133" s="12"/>
      <c r="D133" s="15"/>
      <c r="E133" s="12"/>
      <c r="F133" s="12"/>
    </row>
    <row r="134" spans="1:6" ht="39.75" customHeight="1" x14ac:dyDescent="0.25">
      <c r="A134" s="7"/>
      <c r="B134" s="13">
        <v>132</v>
      </c>
      <c r="C134" s="12"/>
      <c r="D134" s="15"/>
      <c r="E134" s="12"/>
      <c r="F134" s="12"/>
    </row>
    <row r="135" spans="1:6" ht="39.75" customHeight="1" x14ac:dyDescent="0.25">
      <c r="A135" s="7"/>
      <c r="B135" s="13">
        <v>133</v>
      </c>
      <c r="C135" s="12"/>
      <c r="D135" s="15"/>
      <c r="E135" s="12"/>
      <c r="F135" s="12"/>
    </row>
    <row r="136" spans="1:6" ht="39.75" customHeight="1" x14ac:dyDescent="0.25">
      <c r="A136" s="7"/>
      <c r="B136" s="13">
        <v>134</v>
      </c>
      <c r="C136" s="12"/>
      <c r="D136" s="15"/>
      <c r="E136" s="12"/>
      <c r="F136" s="12"/>
    </row>
    <row r="137" spans="1:6" ht="39.75" customHeight="1" x14ac:dyDescent="0.25">
      <c r="A137" s="7"/>
      <c r="B137" s="13">
        <v>135</v>
      </c>
      <c r="C137" s="12"/>
      <c r="D137" s="15"/>
      <c r="E137" s="12"/>
      <c r="F137" s="12"/>
    </row>
    <row r="138" spans="1:6" ht="39.75" customHeight="1" x14ac:dyDescent="0.25">
      <c r="A138" s="7"/>
      <c r="B138" s="13">
        <v>136</v>
      </c>
      <c r="C138" s="12"/>
      <c r="D138" s="15"/>
      <c r="E138" s="12"/>
      <c r="F138" s="12"/>
    </row>
    <row r="139" spans="1:6" ht="39.75" customHeight="1" x14ac:dyDescent="0.25">
      <c r="A139" s="7"/>
      <c r="B139" s="13">
        <v>137</v>
      </c>
      <c r="C139" s="12"/>
      <c r="D139" s="15"/>
      <c r="E139" s="12"/>
      <c r="F139" s="12"/>
    </row>
    <row r="140" spans="1:6" ht="39.75" customHeight="1" x14ac:dyDescent="0.25">
      <c r="A140" s="7"/>
      <c r="B140" s="13">
        <v>138</v>
      </c>
      <c r="C140" s="12"/>
      <c r="D140" s="15"/>
      <c r="E140" s="12"/>
      <c r="F140" s="12"/>
    </row>
    <row r="141" spans="1:6" ht="39.75" customHeight="1" x14ac:dyDescent="0.25">
      <c r="A141" s="7"/>
      <c r="B141" s="13">
        <v>139</v>
      </c>
      <c r="C141" s="12"/>
      <c r="D141" s="15"/>
      <c r="E141" s="12"/>
      <c r="F141" s="12"/>
    </row>
    <row r="142" spans="1:6" ht="39.75" customHeight="1" x14ac:dyDescent="0.25">
      <c r="A142" s="7"/>
      <c r="B142" s="13">
        <v>140</v>
      </c>
      <c r="C142" s="12"/>
      <c r="D142" s="15"/>
      <c r="E142" s="12"/>
      <c r="F142" s="12"/>
    </row>
    <row r="143" spans="1:6" ht="39.75" customHeight="1" x14ac:dyDescent="0.25">
      <c r="A143" s="7"/>
      <c r="B143" s="13">
        <v>141</v>
      </c>
      <c r="C143" s="12"/>
      <c r="D143" s="15"/>
      <c r="E143" s="12"/>
      <c r="F143" s="12"/>
    </row>
    <row r="144" spans="1:6" ht="39.75" customHeight="1" x14ac:dyDescent="0.25">
      <c r="A144" s="7"/>
      <c r="B144" s="13">
        <v>142</v>
      </c>
      <c r="C144" s="12"/>
      <c r="D144" s="15"/>
      <c r="E144" s="12"/>
      <c r="F144" s="12"/>
    </row>
    <row r="145" spans="1:6" ht="39.75" customHeight="1" x14ac:dyDescent="0.25">
      <c r="A145" s="7"/>
      <c r="B145" s="13">
        <v>143</v>
      </c>
      <c r="C145" s="12"/>
      <c r="D145" s="15"/>
      <c r="E145" s="12"/>
      <c r="F145" s="12"/>
    </row>
    <row r="146" spans="1:6" ht="39.75" customHeight="1" x14ac:dyDescent="0.25">
      <c r="A146" s="7"/>
      <c r="B146" s="13">
        <v>144</v>
      </c>
      <c r="C146" s="12"/>
      <c r="D146" s="15"/>
      <c r="E146" s="12"/>
      <c r="F146" s="12"/>
    </row>
    <row r="147" spans="1:6" ht="39.75" customHeight="1" x14ac:dyDescent="0.25">
      <c r="A147" s="7"/>
      <c r="B147" s="13">
        <v>145</v>
      </c>
      <c r="C147" s="12"/>
      <c r="D147" s="15"/>
      <c r="E147" s="12"/>
      <c r="F147" s="12"/>
    </row>
    <row r="148" spans="1:6" ht="39.75" customHeight="1" x14ac:dyDescent="0.25">
      <c r="A148" s="7"/>
      <c r="B148" s="13">
        <v>146</v>
      </c>
      <c r="C148" s="12"/>
      <c r="D148" s="15"/>
      <c r="E148" s="12"/>
      <c r="F148" s="12"/>
    </row>
    <row r="149" spans="1:6" ht="39.75" customHeight="1" x14ac:dyDescent="0.25">
      <c r="A149" s="7"/>
      <c r="B149" s="13">
        <v>147</v>
      </c>
      <c r="C149" s="12"/>
      <c r="D149" s="15"/>
      <c r="E149" s="12"/>
      <c r="F149" s="12"/>
    </row>
    <row r="150" spans="1:6" ht="39.75" customHeight="1" x14ac:dyDescent="0.25">
      <c r="A150" s="7"/>
      <c r="B150" s="13">
        <v>148</v>
      </c>
      <c r="C150" s="12"/>
      <c r="D150" s="15"/>
      <c r="E150" s="12"/>
      <c r="F150" s="12"/>
    </row>
    <row r="151" spans="1:6" ht="39.75" customHeight="1" x14ac:dyDescent="0.25">
      <c r="A151" s="7"/>
      <c r="B151" s="13">
        <v>149</v>
      </c>
      <c r="C151" s="12"/>
      <c r="D151" s="15"/>
      <c r="E151" s="12"/>
      <c r="F151" s="12"/>
    </row>
    <row r="152" spans="1:6" ht="39.75" customHeight="1" x14ac:dyDescent="0.25">
      <c r="A152" s="7"/>
      <c r="B152" s="13">
        <v>150</v>
      </c>
      <c r="C152" s="12"/>
      <c r="D152" s="15"/>
      <c r="E152" s="12"/>
      <c r="F152" s="12"/>
    </row>
    <row r="153" spans="1:6" ht="39.75" customHeight="1" x14ac:dyDescent="0.25">
      <c r="A153" s="7"/>
      <c r="B153" s="13">
        <v>151</v>
      </c>
      <c r="C153" s="12"/>
      <c r="D153" s="15"/>
      <c r="E153" s="12"/>
      <c r="F153" s="12"/>
    </row>
    <row r="154" spans="1:6" ht="39.75" customHeight="1" x14ac:dyDescent="0.25">
      <c r="A154" s="7"/>
      <c r="B154" s="13">
        <v>152</v>
      </c>
      <c r="C154" s="12"/>
      <c r="D154" s="15"/>
      <c r="E154" s="12"/>
      <c r="F154" s="12"/>
    </row>
    <row r="155" spans="1:6" ht="39.75" customHeight="1" x14ac:dyDescent="0.25">
      <c r="A155" s="7"/>
      <c r="B155" s="13">
        <v>153</v>
      </c>
      <c r="C155" s="12"/>
      <c r="D155" s="15"/>
      <c r="E155" s="12"/>
      <c r="F155" s="12"/>
    </row>
    <row r="156" spans="1:6" ht="39.75" customHeight="1" x14ac:dyDescent="0.25">
      <c r="A156" s="7"/>
      <c r="B156" s="13">
        <v>154</v>
      </c>
      <c r="C156" s="12"/>
      <c r="D156" s="15"/>
      <c r="E156" s="12"/>
      <c r="F156" s="12"/>
    </row>
    <row r="157" spans="1:6" ht="39.75" customHeight="1" x14ac:dyDescent="0.25">
      <c r="A157" s="7"/>
      <c r="B157" s="13">
        <v>155</v>
      </c>
      <c r="C157" s="12"/>
      <c r="D157" s="15"/>
      <c r="E157" s="12"/>
      <c r="F157" s="12"/>
    </row>
    <row r="158" spans="1:6" ht="39.75" customHeight="1" x14ac:dyDescent="0.25">
      <c r="A158" s="7"/>
      <c r="B158" s="13">
        <v>156</v>
      </c>
      <c r="C158" s="12"/>
      <c r="D158" s="15"/>
      <c r="E158" s="12"/>
      <c r="F158" s="12"/>
    </row>
    <row r="159" spans="1:6" ht="39.75" customHeight="1" x14ac:dyDescent="0.25">
      <c r="A159" s="7"/>
      <c r="B159" s="13">
        <v>157</v>
      </c>
      <c r="C159" s="12"/>
      <c r="D159" s="15"/>
      <c r="E159" s="12"/>
      <c r="F159" s="12"/>
    </row>
    <row r="160" spans="1:6" ht="39.75" customHeight="1" x14ac:dyDescent="0.25">
      <c r="A160" s="7"/>
      <c r="B160" s="13">
        <v>158</v>
      </c>
      <c r="C160" s="12"/>
      <c r="D160" s="15"/>
      <c r="E160" s="12"/>
      <c r="F160" s="12"/>
    </row>
    <row r="161" spans="1:6" ht="39.75" customHeight="1" x14ac:dyDescent="0.25">
      <c r="A161" s="7"/>
      <c r="B161" s="13">
        <v>159</v>
      </c>
      <c r="C161" s="12"/>
      <c r="D161" s="15"/>
      <c r="E161" s="12"/>
      <c r="F161" s="12"/>
    </row>
    <row r="162" spans="1:6" ht="39.75" customHeight="1" x14ac:dyDescent="0.25">
      <c r="A162" s="7"/>
      <c r="B162" s="13">
        <v>160</v>
      </c>
      <c r="C162" s="12"/>
      <c r="D162" s="15"/>
      <c r="E162" s="12"/>
      <c r="F162" s="12"/>
    </row>
    <row r="163" spans="1:6" ht="39.75" customHeight="1" x14ac:dyDescent="0.25">
      <c r="A163" s="7"/>
      <c r="B163" s="13">
        <v>161</v>
      </c>
      <c r="C163" s="12"/>
      <c r="D163" s="15"/>
      <c r="E163" s="12"/>
      <c r="F163" s="12"/>
    </row>
    <row r="164" spans="1:6" ht="39.75" customHeight="1" x14ac:dyDescent="0.25">
      <c r="A164" s="7"/>
      <c r="B164" s="13">
        <v>162</v>
      </c>
      <c r="C164" s="12"/>
      <c r="D164" s="15"/>
      <c r="E164" s="12"/>
      <c r="F164" s="12"/>
    </row>
    <row r="165" spans="1:6" ht="39.75" customHeight="1" x14ac:dyDescent="0.25">
      <c r="A165" s="7"/>
      <c r="B165" s="13">
        <v>163</v>
      </c>
      <c r="C165" s="12"/>
      <c r="D165" s="15"/>
      <c r="E165" s="12"/>
      <c r="F165" s="12"/>
    </row>
    <row r="166" spans="1:6" ht="39.75" customHeight="1" x14ac:dyDescent="0.25">
      <c r="A166" s="7"/>
      <c r="B166" s="13">
        <v>164</v>
      </c>
      <c r="C166" s="12"/>
      <c r="D166" s="15"/>
      <c r="E166" s="12"/>
      <c r="F166" s="12"/>
    </row>
    <row r="167" spans="1:6" ht="39.75" customHeight="1" x14ac:dyDescent="0.25">
      <c r="A167" s="7"/>
      <c r="B167" s="13">
        <v>165</v>
      </c>
      <c r="C167" s="12"/>
      <c r="D167" s="15"/>
      <c r="E167" s="12"/>
      <c r="F167" s="12"/>
    </row>
    <row r="168" spans="1:6" ht="39.75" customHeight="1" x14ac:dyDescent="0.25">
      <c r="A168" s="7"/>
      <c r="B168" s="13">
        <v>166</v>
      </c>
      <c r="C168" s="12"/>
      <c r="D168" s="15"/>
      <c r="E168" s="12"/>
      <c r="F168" s="12"/>
    </row>
    <row r="169" spans="1:6" ht="39.75" customHeight="1" x14ac:dyDescent="0.25">
      <c r="A169" s="7"/>
      <c r="B169" s="13">
        <v>167</v>
      </c>
      <c r="C169" s="12"/>
      <c r="D169" s="15"/>
      <c r="E169" s="12"/>
      <c r="F169" s="12"/>
    </row>
    <row r="170" spans="1:6" ht="39.75" customHeight="1" x14ac:dyDescent="0.25">
      <c r="A170" s="7"/>
      <c r="B170" s="13">
        <v>168</v>
      </c>
      <c r="C170" s="12"/>
      <c r="D170" s="15"/>
      <c r="E170" s="12"/>
      <c r="F170" s="12"/>
    </row>
    <row r="171" spans="1:6" ht="39.75" customHeight="1" x14ac:dyDescent="0.25">
      <c r="A171" s="7"/>
      <c r="B171" s="13">
        <v>169</v>
      </c>
      <c r="C171" s="12"/>
      <c r="D171" s="15"/>
      <c r="E171" s="12"/>
      <c r="F171" s="12"/>
    </row>
    <row r="172" spans="1:6" ht="39.75" customHeight="1" x14ac:dyDescent="0.25">
      <c r="A172" s="7"/>
      <c r="B172" s="13">
        <v>170</v>
      </c>
      <c r="C172" s="12"/>
      <c r="D172" s="15"/>
      <c r="E172" s="12"/>
      <c r="F172" s="12"/>
    </row>
    <row r="173" spans="1:6" ht="39.75" customHeight="1" x14ac:dyDescent="0.25">
      <c r="A173" s="7"/>
      <c r="B173" s="13">
        <v>171</v>
      </c>
      <c r="C173" s="12"/>
      <c r="D173" s="15"/>
      <c r="E173" s="12"/>
      <c r="F173" s="12"/>
    </row>
    <row r="174" spans="1:6" ht="39.75" customHeight="1" x14ac:dyDescent="0.25">
      <c r="A174" s="7"/>
      <c r="B174" s="13">
        <v>172</v>
      </c>
      <c r="C174" s="12"/>
      <c r="D174" s="15"/>
      <c r="E174" s="12"/>
      <c r="F174" s="12"/>
    </row>
    <row r="175" spans="1:6" ht="39.75" customHeight="1" x14ac:dyDescent="0.25">
      <c r="A175" s="7"/>
      <c r="B175" s="13">
        <v>173</v>
      </c>
      <c r="C175" s="12"/>
      <c r="D175" s="15"/>
      <c r="E175" s="12"/>
      <c r="F175" s="12"/>
    </row>
    <row r="176" spans="1:6" ht="39.75" customHeight="1" x14ac:dyDescent="0.25">
      <c r="A176" s="7"/>
      <c r="B176" s="13">
        <v>174</v>
      </c>
      <c r="C176" s="12"/>
      <c r="D176" s="15"/>
      <c r="E176" s="12"/>
      <c r="F176" s="12"/>
    </row>
    <row r="177" spans="1:6" ht="39.75" customHeight="1" x14ac:dyDescent="0.25">
      <c r="A177" s="7"/>
      <c r="B177" s="13">
        <v>175</v>
      </c>
      <c r="C177" s="12"/>
      <c r="D177" s="15"/>
      <c r="E177" s="12"/>
      <c r="F177" s="12"/>
    </row>
    <row r="178" spans="1:6" ht="39.75" customHeight="1" x14ac:dyDescent="0.25">
      <c r="A178" s="7"/>
      <c r="B178" s="13">
        <v>176</v>
      </c>
      <c r="C178" s="12"/>
      <c r="D178" s="15"/>
      <c r="E178" s="12"/>
      <c r="F178" s="12"/>
    </row>
    <row r="179" spans="1:6" ht="39.75" customHeight="1" x14ac:dyDescent="0.25">
      <c r="A179" s="7"/>
      <c r="B179" s="13">
        <v>177</v>
      </c>
      <c r="C179" s="12"/>
      <c r="D179" s="15"/>
      <c r="E179" s="12"/>
      <c r="F179" s="12"/>
    </row>
    <row r="180" spans="1:6" ht="39.75" customHeight="1" x14ac:dyDescent="0.25">
      <c r="A180" s="7"/>
      <c r="B180" s="13">
        <v>178</v>
      </c>
      <c r="C180" s="12"/>
      <c r="D180" s="15"/>
      <c r="E180" s="12"/>
      <c r="F180" s="12"/>
    </row>
    <row r="181" spans="1:6" ht="39.75" customHeight="1" x14ac:dyDescent="0.25">
      <c r="A181" s="7"/>
      <c r="B181" s="13">
        <v>179</v>
      </c>
      <c r="C181" s="12"/>
      <c r="D181" s="15"/>
      <c r="E181" s="12"/>
      <c r="F181" s="12"/>
    </row>
    <row r="182" spans="1:6" ht="39.75" customHeight="1" x14ac:dyDescent="0.25">
      <c r="A182" s="7"/>
      <c r="B182" s="13">
        <v>180</v>
      </c>
      <c r="C182" s="12"/>
      <c r="D182" s="15"/>
      <c r="E182" s="12"/>
      <c r="F182" s="12"/>
    </row>
    <row r="183" spans="1:6" ht="39.75" customHeight="1" x14ac:dyDescent="0.25">
      <c r="A183" s="7"/>
      <c r="B183" s="13">
        <v>181</v>
      </c>
      <c r="C183" s="12"/>
      <c r="D183" s="15"/>
      <c r="E183" s="12"/>
      <c r="F183" s="12"/>
    </row>
    <row r="184" spans="1:6" ht="39.75" customHeight="1" x14ac:dyDescent="0.25">
      <c r="A184" s="7"/>
      <c r="B184" s="13">
        <v>182</v>
      </c>
      <c r="C184" s="12"/>
      <c r="D184" s="15"/>
      <c r="E184" s="12"/>
      <c r="F184" s="12"/>
    </row>
    <row r="185" spans="1:6" ht="39.75" customHeight="1" x14ac:dyDescent="0.25">
      <c r="A185" s="7"/>
      <c r="B185" s="13">
        <v>183</v>
      </c>
      <c r="C185" s="12"/>
      <c r="D185" s="15"/>
      <c r="E185" s="12"/>
      <c r="F185" s="12"/>
    </row>
    <row r="186" spans="1:6" ht="39.75" customHeight="1" x14ac:dyDescent="0.25">
      <c r="A186" s="7"/>
      <c r="B186" s="13">
        <v>184</v>
      </c>
      <c r="C186" s="12"/>
      <c r="D186" s="15"/>
      <c r="E186" s="12"/>
      <c r="F186" s="12"/>
    </row>
    <row r="187" spans="1:6" ht="39.75" customHeight="1" x14ac:dyDescent="0.25">
      <c r="A187" s="7"/>
      <c r="B187" s="13">
        <v>185</v>
      </c>
      <c r="C187" s="12"/>
      <c r="D187" s="15"/>
      <c r="E187" s="12"/>
      <c r="F187" s="12"/>
    </row>
    <row r="188" spans="1:6" ht="39.75" customHeight="1" x14ac:dyDescent="0.25">
      <c r="A188" s="7"/>
      <c r="B188" s="13">
        <v>186</v>
      </c>
      <c r="C188" s="12"/>
      <c r="D188" s="15"/>
      <c r="E188" s="12"/>
      <c r="F188" s="12"/>
    </row>
    <row r="189" spans="1:6" ht="39.75" customHeight="1" x14ac:dyDescent="0.25">
      <c r="A189" s="7"/>
      <c r="B189" s="13">
        <v>187</v>
      </c>
      <c r="C189" s="12"/>
      <c r="D189" s="15"/>
      <c r="E189" s="12"/>
      <c r="F189" s="12"/>
    </row>
    <row r="190" spans="1:6" ht="39.75" customHeight="1" x14ac:dyDescent="0.25">
      <c r="A190" s="7"/>
      <c r="B190" s="13">
        <v>188</v>
      </c>
      <c r="C190" s="12"/>
      <c r="D190" s="15"/>
      <c r="E190" s="12"/>
      <c r="F190" s="12"/>
    </row>
    <row r="191" spans="1:6" ht="39.75" customHeight="1" x14ac:dyDescent="0.25">
      <c r="A191" s="7"/>
      <c r="B191" s="13">
        <v>189</v>
      </c>
      <c r="C191" s="12"/>
      <c r="D191" s="15"/>
      <c r="E191" s="12"/>
      <c r="F191" s="12"/>
    </row>
    <row r="192" spans="1:6" ht="39.75" customHeight="1" x14ac:dyDescent="0.25">
      <c r="A192" s="7"/>
      <c r="B192" s="13">
        <v>190</v>
      </c>
      <c r="C192" s="12"/>
      <c r="D192" s="15"/>
      <c r="E192" s="12"/>
      <c r="F192" s="12"/>
    </row>
    <row r="193" spans="1:6" ht="39.75" customHeight="1" x14ac:dyDescent="0.25">
      <c r="A193" s="7"/>
      <c r="B193" s="13">
        <v>191</v>
      </c>
      <c r="C193" s="12"/>
      <c r="D193" s="15"/>
      <c r="E193" s="12"/>
      <c r="F193" s="12"/>
    </row>
    <row r="194" spans="1:6" ht="39.75" customHeight="1" x14ac:dyDescent="0.25">
      <c r="A194" s="7"/>
      <c r="B194" s="13">
        <v>192</v>
      </c>
      <c r="C194" s="12"/>
      <c r="D194" s="15"/>
      <c r="E194" s="12"/>
      <c r="F194" s="12"/>
    </row>
    <row r="195" spans="1:6" ht="39.75" customHeight="1" x14ac:dyDescent="0.25">
      <c r="A195" s="7"/>
      <c r="B195" s="13">
        <v>193</v>
      </c>
      <c r="C195" s="12"/>
      <c r="D195" s="15"/>
      <c r="E195" s="12"/>
      <c r="F195" s="12"/>
    </row>
    <row r="196" spans="1:6" ht="39.75" customHeight="1" x14ac:dyDescent="0.25">
      <c r="A196" s="7"/>
      <c r="B196" s="13">
        <v>194</v>
      </c>
      <c r="C196" s="12"/>
      <c r="D196" s="15"/>
      <c r="E196" s="12"/>
      <c r="F196" s="12"/>
    </row>
    <row r="197" spans="1:6" ht="39.75" customHeight="1" x14ac:dyDescent="0.25">
      <c r="A197" s="7"/>
      <c r="B197" s="13">
        <v>195</v>
      </c>
      <c r="C197" s="12"/>
      <c r="D197" s="15"/>
      <c r="E197" s="12"/>
      <c r="F197" s="12"/>
    </row>
    <row r="198" spans="1:6" ht="39.75" customHeight="1" x14ac:dyDescent="0.25">
      <c r="A198" s="7"/>
      <c r="B198" s="13">
        <v>196</v>
      </c>
      <c r="C198" s="12"/>
      <c r="D198" s="15"/>
      <c r="E198" s="12"/>
      <c r="F198" s="12"/>
    </row>
    <row r="199" spans="1:6" ht="39.75" customHeight="1" x14ac:dyDescent="0.25">
      <c r="A199" s="7"/>
      <c r="B199" s="13">
        <v>197</v>
      </c>
      <c r="C199" s="12"/>
      <c r="D199" s="15"/>
      <c r="E199" s="12"/>
      <c r="F199" s="12"/>
    </row>
    <row r="200" spans="1:6" ht="39.75" customHeight="1" x14ac:dyDescent="0.25">
      <c r="A200" s="7"/>
      <c r="B200" s="13">
        <v>198</v>
      </c>
      <c r="C200" s="12"/>
      <c r="D200" s="15"/>
      <c r="E200" s="12"/>
      <c r="F200" s="12"/>
    </row>
    <row r="201" spans="1:6" ht="39.75" customHeight="1" x14ac:dyDescent="0.25">
      <c r="A201" s="7"/>
      <c r="B201" s="13">
        <v>199</v>
      </c>
      <c r="C201" s="12"/>
      <c r="D201" s="15"/>
      <c r="E201" s="12"/>
      <c r="F201" s="12"/>
    </row>
    <row r="202" spans="1:6" ht="39.75" customHeight="1" x14ac:dyDescent="0.25">
      <c r="A202" s="7"/>
      <c r="B202" s="13">
        <v>200</v>
      </c>
      <c r="C202" s="12"/>
      <c r="D202" s="15"/>
      <c r="E202" s="12"/>
      <c r="F202" s="12"/>
    </row>
  </sheetData>
  <protectedRanges>
    <protectedRange sqref="A14" name="ResultsSort"/>
  </protectedRanges>
  <mergeCells count="1">
    <mergeCell ref="C1:F1"/>
  </mergeCells>
  <phoneticPr fontId="27" type="noConversion"/>
  <dataValidations count="1">
    <dataValidation type="whole" allowBlank="1" showInputMessage="1" showErrorMessage="1" sqref="A11" xr:uid="{F3C6A948-A0D3-4E05-B019-541BC3C12C32}">
      <formula1>3</formula1>
      <formula2>6</formula2>
    </dataValidation>
  </dataValidations>
  <pageMargins left="0.7" right="0.7" top="0.75" bottom="0.75" header="0.3" footer="0.3"/>
  <legacyDrawing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076DA-3617-4CD8-9327-A8A643CB5BE9}">
  <sheetPr>
    <tabColor rgb="FFFFFF00"/>
  </sheetPr>
  <dimension ref="A1:AB202"/>
  <sheetViews>
    <sheetView showGridLines="0" zoomScaleNormal="100" workbookViewId="0">
      <pane xSplit="2" ySplit="2" topLeftCell="C3" activePane="bottomRight" state="frozen"/>
      <selection pane="topRight" activeCell="C1" sqref="C1"/>
      <selection pane="bottomLeft" activeCell="A3" sqref="A3"/>
      <selection pane="bottomRight" activeCell="D9" sqref="D9"/>
    </sheetView>
  </sheetViews>
  <sheetFormatPr defaultRowHeight="15" outlineLevelCol="1" x14ac:dyDescent="0.25"/>
  <cols>
    <col min="1" max="1" width="15.5703125" customWidth="1"/>
    <col min="2" max="2" width="32.28515625" customWidth="1"/>
    <col min="3" max="5" width="6.5703125" customWidth="1"/>
    <col min="6" max="7" width="6.5703125" hidden="1" customWidth="1" outlineLevel="1"/>
    <col min="8" max="9" width="6.5703125" style="58" hidden="1" customWidth="1" outlineLevel="1"/>
    <col min="10" max="10" width="10" style="58" customWidth="1" collapsed="1"/>
    <col min="11" max="11" width="10.42578125" style="58" customWidth="1"/>
    <col min="12" max="14" width="10.42578125" customWidth="1"/>
    <col min="15" max="16" width="15.42578125" customWidth="1"/>
    <col min="17" max="18" width="6.5703125" customWidth="1"/>
    <col min="19" max="19" width="6.5703125" style="58" customWidth="1"/>
    <col min="20" max="20" width="26.28515625" style="22" customWidth="1"/>
    <col min="21" max="22" width="8.42578125" style="22" customWidth="1"/>
    <col min="23" max="27" width="8.42578125" style="22" hidden="1" customWidth="1" outlineLevel="1"/>
    <col min="28" max="28" width="80.28515625" style="22" customWidth="1" collapsed="1"/>
  </cols>
  <sheetData>
    <row r="1" spans="1:28" ht="39.6" customHeight="1" x14ac:dyDescent="0.25">
      <c r="A1" s="112" t="s">
        <v>22</v>
      </c>
      <c r="B1" s="112"/>
      <c r="C1" s="112" t="s">
        <v>96</v>
      </c>
      <c r="D1" s="112"/>
      <c r="E1" s="112"/>
      <c r="F1" s="112"/>
      <c r="G1" s="112"/>
      <c r="H1" s="112"/>
      <c r="I1" s="112"/>
      <c r="J1" s="112"/>
      <c r="K1" s="112"/>
      <c r="L1" s="112" t="s">
        <v>23</v>
      </c>
      <c r="M1" s="112"/>
      <c r="N1" s="112"/>
      <c r="O1" s="112" t="s">
        <v>24</v>
      </c>
      <c r="P1" s="112"/>
      <c r="Q1" s="112"/>
      <c r="R1" s="112"/>
      <c r="S1" s="112"/>
      <c r="T1" s="111" t="s">
        <v>25</v>
      </c>
      <c r="U1" s="111"/>
      <c r="V1" s="111"/>
      <c r="W1" s="111" t="s">
        <v>26</v>
      </c>
      <c r="X1" s="111"/>
      <c r="Y1" s="111"/>
      <c r="Z1" s="111"/>
      <c r="AA1" s="111"/>
      <c r="AB1" s="85" t="s">
        <v>27</v>
      </c>
    </row>
    <row r="2" spans="1:28" ht="117.75" customHeight="1" x14ac:dyDescent="0.25">
      <c r="A2" s="77" t="s">
        <v>12</v>
      </c>
      <c r="B2" s="77" t="s">
        <v>13</v>
      </c>
      <c r="C2" s="78" t="s">
        <v>83</v>
      </c>
      <c r="D2" s="78" t="s">
        <v>84</v>
      </c>
      <c r="E2" s="78" t="s">
        <v>85</v>
      </c>
      <c r="F2" s="78" t="s">
        <v>86</v>
      </c>
      <c r="G2" s="78" t="s">
        <v>87</v>
      </c>
      <c r="H2" s="78" t="s">
        <v>88</v>
      </c>
      <c r="I2" s="78" t="s">
        <v>105</v>
      </c>
      <c r="J2" s="78" t="s">
        <v>106</v>
      </c>
      <c r="K2" s="78" t="s">
        <v>89</v>
      </c>
      <c r="L2" s="79" t="s">
        <v>28</v>
      </c>
      <c r="M2" s="23" t="s">
        <v>93</v>
      </c>
      <c r="N2" s="80" t="s">
        <v>134</v>
      </c>
      <c r="O2" s="24" t="s">
        <v>30</v>
      </c>
      <c r="P2" s="25" t="s">
        <v>31</v>
      </c>
      <c r="Q2" s="26" t="s">
        <v>80</v>
      </c>
      <c r="R2" s="26" t="s">
        <v>21</v>
      </c>
      <c r="S2" s="55" t="s">
        <v>70</v>
      </c>
      <c r="T2" s="86" t="s">
        <v>32</v>
      </c>
      <c r="U2" s="86" t="s">
        <v>33</v>
      </c>
      <c r="V2" s="87" t="s">
        <v>34</v>
      </c>
      <c r="W2" s="94" t="s">
        <v>35</v>
      </c>
      <c r="X2" s="95" t="s">
        <v>143</v>
      </c>
      <c r="Y2" s="96" t="s">
        <v>113</v>
      </c>
      <c r="Z2" s="88" t="s">
        <v>36</v>
      </c>
      <c r="AA2" s="89" t="s">
        <v>37</v>
      </c>
      <c r="AB2" s="90" t="s">
        <v>27</v>
      </c>
    </row>
    <row r="3" spans="1:28" ht="21" customHeight="1" x14ac:dyDescent="0.25">
      <c r="A3">
        <f>_xlfn.XLOOKUP(1,OfficialTeamList[Row],OfficialTeamList[Team Number],"ERROR",0)</f>
        <v>1234</v>
      </c>
      <c r="B3" s="27" t="str">
        <f>_xlfn.XLOOKUP(TournamentData[[#This Row],[Team Number]],OfficialTeamList[Team Number],OfficialTeamList[Team Name],"",0,)</f>
        <v>Team 1</v>
      </c>
      <c r="C3" s="28">
        <f>IF(TournamentData[[#This Row],[Team Number]]="","",_xlfn.XLOOKUP(TournamentData[[#This Row],[Team Number]],RobotGameScores[Team Number],RobotGameScores[Match 1 Score],0,0,))</f>
        <v>60</v>
      </c>
      <c r="D3" s="28">
        <f>IF(TournamentData[[#This Row],[Team Number]]="","",_xlfn.XLOOKUP(TournamentData[[#This Row],[Team Number]],RobotGameScores[Team Number],RobotGameScores[Match 2 Score],0,0,))</f>
        <v>44</v>
      </c>
      <c r="E3" s="28">
        <f>IF(TournamentData[[#This Row],[Team Number]]="","",_xlfn.XLOOKUP(TournamentData[[#This Row],[Team Number]],RobotGameScores[Team Number],RobotGameScores[Match 3 Score],0,0,))</f>
        <v>89</v>
      </c>
      <c r="F3" s="28">
        <f>IF(TournamentData[[#This Row],[Team Number]]="","",_xlfn.XLOOKUP(TournamentData[[#This Row],[Team Number]],RobotGameScores[Team Number],RobotGameScores[Match 4 Score],0,0,))</f>
        <v>0</v>
      </c>
      <c r="G3" s="28">
        <f>IF(TournamentData[[#This Row],[Team Number]]="","",_xlfn.XLOOKUP(TournamentData[[#This Row],[Team Number]],RobotGameScores[Team Number],RobotGameScores[Match 5 Score],0,0,))</f>
        <v>0</v>
      </c>
      <c r="H3" s="28">
        <f>IF(TournamentData[[#This Row],[Team Name]]="","",_xlfn.XLOOKUP(TournamentData[[#This Row],[Team Name]],RobotGameScores[Team Name],RobotGameScores[Match 6 Score],0,0,))</f>
        <v>0</v>
      </c>
      <c r="I3" s="28">
        <v>89.006004399999995</v>
      </c>
      <c r="J3" s="28">
        <f>SUM(TournamentData[[#This Row],[Match Score 1]:[Match Score 6]])/NumberOfRounds</f>
        <v>64.333333333333329</v>
      </c>
      <c r="K3" s="59">
        <f>IF(TournamentData[[#This Row],[Team Number]]="","",1+COUNTIFS($J$3:$J$201,"&gt;"&amp;J3)+COUNTIFS($J$3:$J$201,J3,$I$3:$I$201,"&gt;"&amp;I3))</f>
        <v>2</v>
      </c>
      <c r="L3" s="28">
        <f>IF(TournamentData[[#This Row],[Team Number]]="","",_xlfn.XLOOKUP(TournamentData[[#This Row],[Team Number]],CoreValuesResults[Team Number],CoreValuesResults[Core Values Rank],NumberOfTeams+1,0,))</f>
        <v>1</v>
      </c>
      <c r="M3" s="28">
        <f>IF(TournamentData[[#This Row],[Team Number]]="","",_xlfn.XLOOKUP(TournamentData[[#This Row],[Team Number]],InnovationProjectResults[Team Number],InnovationProjectResults[Innovation Project Rank],NumberOfTeams+1,0,))</f>
        <v>1</v>
      </c>
      <c r="N3" s="28">
        <f>IF(TournamentData[[#This Row],[Team Number]]="","",_xlfn.XLOOKUP(TournamentData[[#This Row],[Team Number]],RobotDesignResults[Team Number],RobotDesignResults[Engineering Design Rank],NumberOfTeams+1,0,))</f>
        <v>1</v>
      </c>
      <c r="O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5</v>
      </c>
      <c r="P3" s="29">
        <f>IF(TournamentData[[#This Row],[Team Number]]="","",IF(O3,RANK(O3,O$3:O$202,1)-COUNTIF(O$3:O$202,0),NumberOfTeams+1))</f>
        <v>1</v>
      </c>
      <c r="Q3" s="30" t="b">
        <f>_xlfn.XLOOKUP(TournamentData[[#This Row],[Team Number]],CoreValuesResults[Team Number],CoreValuesResults[Inspiration Selection],0,0,)</f>
        <v>1</v>
      </c>
      <c r="R3" s="30">
        <f>_xlfn.XLOOKUP(TournamentData[[#This Row],[Team Number]],CoreValuesResults[Team Number],CoreValuesResults[Rising All-Star Selection],0,0,)</f>
        <v>0</v>
      </c>
      <c r="S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3" s="31"/>
      <c r="U3" s="31"/>
      <c r="V3" s="32"/>
      <c r="W3" s="91">
        <f>_xlfn.XLOOKUP(TournamentData[[#This Row],[Team Number]],CoreValuesResults[Team Number],CoreValuesResults[Core Values Score],0,0,)</f>
        <v>55</v>
      </c>
      <c r="X3" s="91">
        <f>_xlfn.XLOOKUP(TournamentData[[#This Row],[Team Number]],InnovationProjectResults[Team Number],InnovationProjectResults[Innovation Project Score],0,0,)</f>
        <v>55</v>
      </c>
      <c r="Y3" s="91">
        <f>_xlfn.XLOOKUP(TournamentData[[#This Row],[Team Number]],RobotDesignResults[Team Number],RobotDesignResults[Engineering Design Score],0,0,)</f>
        <v>55</v>
      </c>
      <c r="Z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57.198024666302551</v>
      </c>
      <c r="AA3" s="93">
        <f t="shared" ref="AA3:AA34" si="0">IF(Z3,_xlfn.RANK.EQ(Z3,Z$3:Z$110,0),NumberOfTeams)</f>
        <v>1</v>
      </c>
      <c r="AB3" s="31"/>
    </row>
    <row r="4" spans="1:28" ht="21" customHeight="1" x14ac:dyDescent="0.25">
      <c r="A4">
        <f>_xlfn.XLOOKUP(2,OfficialTeamList[Row],OfficialTeamList[Team Number],"ERROR",0)</f>
        <v>2345</v>
      </c>
      <c r="B4" s="27" t="str">
        <f>_xlfn.XLOOKUP(TournamentData[[#This Row],[Team Number]],OfficialTeamList[Team Number],OfficialTeamList[Team Name],"",0,)</f>
        <v>Team 2</v>
      </c>
      <c r="C4" s="28">
        <f>IF(TournamentData[[#This Row],[Team Number]]="","",_xlfn.XLOOKUP(TournamentData[[#This Row],[Team Number]],RobotGameScores[Team Number],RobotGameScores[Match 1 Score],0,0,))</f>
        <v>22</v>
      </c>
      <c r="D4" s="28">
        <f>IF(TournamentData[[#This Row],[Team Number]]="","",_xlfn.XLOOKUP(TournamentData[[#This Row],[Team Number]],RobotGameScores[Team Number],RobotGameScores[Match 2 Score],0,0,))</f>
        <v>45</v>
      </c>
      <c r="E4" s="28">
        <f>IF(TournamentData[[#This Row],[Team Number]]="","",_xlfn.XLOOKUP(TournamentData[[#This Row],[Team Number]],RobotGameScores[Team Number],RobotGameScores[Match 3 Score],0,0,))</f>
        <v>88</v>
      </c>
      <c r="F4" s="28">
        <f>IF(TournamentData[[#This Row],[Team Number]]="","",_xlfn.XLOOKUP(TournamentData[[#This Row],[Team Number]],RobotGameScores[Team Number],RobotGameScores[Match 4 Score],0,0,))</f>
        <v>0</v>
      </c>
      <c r="G4" s="28">
        <f>IF(TournamentData[[#This Row],[Team Number]]="","",_xlfn.XLOOKUP(TournamentData[[#This Row],[Team Number]],RobotGameScores[Team Number],RobotGameScores[Match 5 Score],0,0,))</f>
        <v>0</v>
      </c>
      <c r="H4" s="28">
        <f>IF(TournamentData[[#This Row],[Team Name]]="","",_xlfn.XLOOKUP(TournamentData[[#This Row],[Team Name]],RobotGameScores[Team Name],RobotGameScores[Match 6 Score],0,0,))</f>
        <v>0</v>
      </c>
      <c r="I4" s="28">
        <v>88.00450219999999</v>
      </c>
      <c r="J4" s="28">
        <f>SUM(TournamentData[[#This Row],[Match Score 1]:[Match Score 6]])/NumberOfRounds</f>
        <v>51.666666666666664</v>
      </c>
      <c r="K4" s="60">
        <f>IF(TournamentData[[#This Row],[Team Number]]="","",1+COUNTIFS($J$3:$J$201,"&gt;"&amp;J4)+COUNTIFS($J$3:$J$201,J4,$I$3:$I$201,"&gt;"&amp;I4))</f>
        <v>5</v>
      </c>
      <c r="L4" s="28">
        <f>IF(TournamentData[[#This Row],[Team Number]]="","",_xlfn.XLOOKUP(TournamentData[[#This Row],[Team Number]],CoreValuesResults[Team Number],CoreValuesResults[Core Values Rank],NumberOfTeams+1,0,))</f>
        <v>7</v>
      </c>
      <c r="M4" s="28">
        <f>IF(TournamentData[[#This Row],[Team Number]]="","",_xlfn.XLOOKUP(TournamentData[[#This Row],[Team Number]],InnovationProjectResults[Team Number],InnovationProjectResults[Innovation Project Rank],NumberOfTeams+1,0,))</f>
        <v>7</v>
      </c>
      <c r="N4" s="28">
        <f>IF(TournamentData[[#This Row],[Team Number]]="","",_xlfn.XLOOKUP(TournamentData[[#This Row],[Team Number]],RobotDesignResults[Team Number],RobotDesignResults[Engineering Design Rank],NumberOfTeams+1,0,))</f>
        <v>5</v>
      </c>
      <c r="O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24</v>
      </c>
      <c r="P4" s="29">
        <f>IF(TournamentData[[#This Row],[Team Number]]="","",IF(O4,RANK(O4,O$3:O$202,1)-COUNTIF(O$3:O$202,0),NumberOfTeams+1))</f>
        <v>7</v>
      </c>
      <c r="Q4" s="30">
        <f>_xlfn.XLOOKUP(TournamentData[[#This Row],[Team Number]],CoreValuesResults[Team Number],CoreValuesResults[Inspiration Selection],0,0,)</f>
        <v>0</v>
      </c>
      <c r="R4" s="30">
        <f>_xlfn.XLOOKUP(TournamentData[[#This Row],[Team Number]],CoreValuesResults[Team Number],CoreValuesResults[Rising All-Star Selection],0,0,)</f>
        <v>0</v>
      </c>
      <c r="S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4" s="31"/>
      <c r="U4" s="31"/>
      <c r="V4" s="32"/>
      <c r="W4" s="91">
        <f>_xlfn.XLOOKUP(TournamentData[[#This Row],[Team Number]],CoreValuesResults[Team Number],CoreValuesResults[Core Values Score],0,0,)</f>
        <v>21</v>
      </c>
      <c r="X4" s="91">
        <f>_xlfn.XLOOKUP(TournamentData[[#This Row],[Team Number]],InnovationProjectResults[Team Number],InnovationProjectResults[Innovation Project Score],0,0,)</f>
        <v>26</v>
      </c>
      <c r="Y4" s="91">
        <f>_xlfn.XLOOKUP(TournamentData[[#This Row],[Team Number]],RobotDesignResults[Team Number],RobotDesignResults[Engineering Design Score],0,0,)</f>
        <v>26</v>
      </c>
      <c r="Z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29.264702164621998</v>
      </c>
      <c r="AA4" s="93">
        <f t="shared" si="0"/>
        <v>8</v>
      </c>
      <c r="AB4" s="31"/>
    </row>
    <row r="5" spans="1:28" ht="21" customHeight="1" x14ac:dyDescent="0.25">
      <c r="A5">
        <f>_xlfn.XLOOKUP(3,OfficialTeamList[Row],OfficialTeamList[Team Number],"ERROR",0)</f>
        <v>3456</v>
      </c>
      <c r="B5" s="27" t="str">
        <f>_xlfn.XLOOKUP(TournamentData[[#This Row],[Team Number]],OfficialTeamList[Team Number],OfficialTeamList[Team Name],"",0,)</f>
        <v>Team 3</v>
      </c>
      <c r="C5" s="28">
        <f>IF(TournamentData[[#This Row],[Team Number]]="","",_xlfn.XLOOKUP(TournamentData[[#This Row],[Team Number]],RobotGameScores[Team Number],RobotGameScores[Match 1 Score],0,0,))</f>
        <v>100</v>
      </c>
      <c r="D5" s="28">
        <f>IF(TournamentData[[#This Row],[Team Number]]="","",_xlfn.XLOOKUP(TournamentData[[#This Row],[Team Number]],RobotGameScores[Team Number],RobotGameScores[Match 2 Score],0,0,))</f>
        <v>12</v>
      </c>
      <c r="E5" s="28">
        <f>IF(TournamentData[[#This Row],[Team Number]]="","",_xlfn.XLOOKUP(TournamentData[[#This Row],[Team Number]],RobotGameScores[Team Number],RobotGameScores[Match 3 Score],0,0,))</f>
        <v>42</v>
      </c>
      <c r="F5" s="28">
        <f>IF(TournamentData[[#This Row],[Team Number]]="","",_xlfn.XLOOKUP(TournamentData[[#This Row],[Team Number]],RobotGameScores[Team Number],RobotGameScores[Match 4 Score],0,0,))</f>
        <v>0</v>
      </c>
      <c r="G5" s="28">
        <f>IF(TournamentData[[#This Row],[Team Number]]="","",_xlfn.XLOOKUP(TournamentData[[#This Row],[Team Number]],RobotGameScores[Team Number],RobotGameScores[Match 5 Score],0,0,))</f>
        <v>0</v>
      </c>
      <c r="H5" s="28">
        <f>IF(TournamentData[[#This Row],[Team Name]]="","",_xlfn.XLOOKUP(TournamentData[[#This Row],[Team Name]],RobotGameScores[Team Name],RobotGameScores[Match 6 Score],0,0,))</f>
        <v>0</v>
      </c>
      <c r="I5" s="28">
        <v>100.0042012</v>
      </c>
      <c r="J5" s="28">
        <f>SUM(TournamentData[[#This Row],[Match Score 1]:[Match Score 6]])/NumberOfRounds</f>
        <v>51.333333333333336</v>
      </c>
      <c r="K5" s="59">
        <f>IF(TournamentData[[#This Row],[Team Number]]="","",1+COUNTIFS($J$3:$J$201,"&gt;"&amp;J5)+COUNTIFS($J$3:$J$201,J5,$I$3:$I$201,"&gt;"&amp;I5))</f>
        <v>7</v>
      </c>
      <c r="L5" s="28">
        <f>IF(TournamentData[[#This Row],[Team Number]]="","",_xlfn.XLOOKUP(TournamentData[[#This Row],[Team Number]],CoreValuesResults[Team Number],CoreValuesResults[Core Values Rank],NumberOfTeams+1,0,))</f>
        <v>4</v>
      </c>
      <c r="M5" s="28">
        <f>IF(TournamentData[[#This Row],[Team Number]]="","",_xlfn.XLOOKUP(TournamentData[[#This Row],[Team Number]],InnovationProjectResults[Team Number],InnovationProjectResults[Innovation Project Rank],NumberOfTeams+1,0,))</f>
        <v>3</v>
      </c>
      <c r="N5" s="28">
        <f>IF(TournamentData[[#This Row],[Team Number]]="","",_xlfn.XLOOKUP(TournamentData[[#This Row],[Team Number]],RobotDesignResults[Team Number],RobotDesignResults[Engineering Design Rank],NumberOfTeams+1,0,))</f>
        <v>4</v>
      </c>
      <c r="O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18</v>
      </c>
      <c r="P5" s="29">
        <f>IF(TournamentData[[#This Row],[Team Number]]="","",IF(O5,RANK(O5,O$3:O$202,1)-COUNTIF(O$3:O$202,0),NumberOfTeams+1))</f>
        <v>4</v>
      </c>
      <c r="Q5" s="30">
        <f>_xlfn.XLOOKUP(TournamentData[[#This Row],[Team Number]],CoreValuesResults[Team Number],CoreValuesResults[Inspiration Selection],0,0,)</f>
        <v>0</v>
      </c>
      <c r="R5" s="30" t="b">
        <f>_xlfn.XLOOKUP(TournamentData[[#This Row],[Team Number]],CoreValuesResults[Team Number],CoreValuesResults[Rising All-Star Selection],0,0,)</f>
        <v>1</v>
      </c>
      <c r="S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5" s="31"/>
      <c r="U5" s="31"/>
      <c r="V5" s="32"/>
      <c r="W5" s="91">
        <f>_xlfn.XLOOKUP(TournamentData[[#This Row],[Team Number]],CoreValuesResults[Team Number],CoreValuesResults[Core Values Score],0,0,)</f>
        <v>27</v>
      </c>
      <c r="X5" s="91">
        <f>_xlfn.XLOOKUP(TournamentData[[#This Row],[Team Number]],InnovationProjectResults[Team Number],InnovationProjectResults[Innovation Project Score],0,0,)</f>
        <v>31</v>
      </c>
      <c r="Y5" s="91">
        <f>_xlfn.XLOOKUP(TournamentData[[#This Row],[Team Number]],RobotDesignResults[Team Number],RobotDesignResults[Engineering Design Score],0,0,)</f>
        <v>30</v>
      </c>
      <c r="Z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33.694696176119216</v>
      </c>
      <c r="AA5" s="93">
        <f t="shared" si="0"/>
        <v>4</v>
      </c>
      <c r="AB5" s="31"/>
    </row>
    <row r="6" spans="1:28" ht="21" customHeight="1" x14ac:dyDescent="0.25">
      <c r="A6">
        <f>_xlfn.XLOOKUP(4,OfficialTeamList[Row],OfficialTeamList[Team Number],"ERROR",0)</f>
        <v>235</v>
      </c>
      <c r="B6" s="27" t="str">
        <f>_xlfn.XLOOKUP(TournamentData[[#This Row],[Team Number]],OfficialTeamList[Team Number],OfficialTeamList[Team Name],"",0,)</f>
        <v>Team 4</v>
      </c>
      <c r="C6" s="28">
        <f>IF(TournamentData[[#This Row],[Team Number]]="","",_xlfn.XLOOKUP(TournamentData[[#This Row],[Team Number]],RobotGameScores[Team Number],RobotGameScores[Match 1 Score],0,0,))</f>
        <v>135</v>
      </c>
      <c r="D6" s="28">
        <f>IF(TournamentData[[#This Row],[Team Number]]="","",_xlfn.XLOOKUP(TournamentData[[#This Row],[Team Number]],RobotGameScores[Team Number],RobotGameScores[Match 2 Score],0,0,))</f>
        <v>154</v>
      </c>
      <c r="E6" s="28">
        <f>IF(TournamentData[[#This Row],[Team Number]]="","",_xlfn.XLOOKUP(TournamentData[[#This Row],[Team Number]],RobotGameScores[Team Number],RobotGameScores[Match 3 Score],0,0,))</f>
        <v>21</v>
      </c>
      <c r="F6" s="28">
        <f>IF(TournamentData[[#This Row],[Team Number]]="","",_xlfn.XLOOKUP(TournamentData[[#This Row],[Team Number]],RobotGameScores[Team Number],RobotGameScores[Match 4 Score],0,0,))</f>
        <v>0</v>
      </c>
      <c r="G6" s="28">
        <f>IF(TournamentData[[#This Row],[Team Number]]="","",_xlfn.XLOOKUP(TournamentData[[#This Row],[Team Number]],RobotGameScores[Team Number],RobotGameScores[Match 5 Score],0,0,))</f>
        <v>0</v>
      </c>
      <c r="H6" s="28">
        <f>IF(TournamentData[[#This Row],[Team Name]]="","",_xlfn.XLOOKUP(TournamentData[[#This Row],[Team Name]],RobotGameScores[Team Name],RobotGameScores[Match 6 Score],0,0,))</f>
        <v>0</v>
      </c>
      <c r="I6" s="28">
        <v>154.01350209999998</v>
      </c>
      <c r="J6" s="28">
        <f>SUM(TournamentData[[#This Row],[Match Score 1]:[Match Score 6]])/NumberOfRounds</f>
        <v>103.33333333333333</v>
      </c>
      <c r="K6" s="60">
        <f>IF(TournamentData[[#This Row],[Team Number]]="","",1+COUNTIFS($J$3:$J$201,"&gt;"&amp;J6)+COUNTIFS($J$3:$J$201,J6,$I$3:$I$201,"&gt;"&amp;I6))</f>
        <v>1</v>
      </c>
      <c r="L6" s="28">
        <f>IF(TournamentData[[#This Row],[Team Number]]="","",_xlfn.XLOOKUP(TournamentData[[#This Row],[Team Number]],CoreValuesResults[Team Number],CoreValuesResults[Core Values Rank],NumberOfTeams+1,0,))</f>
        <v>2</v>
      </c>
      <c r="M6" s="28">
        <f>IF(TournamentData[[#This Row],[Team Number]]="","",_xlfn.XLOOKUP(TournamentData[[#This Row],[Team Number]],InnovationProjectResults[Team Number],InnovationProjectResults[Innovation Project Rank],NumberOfTeams+1,0,))</f>
        <v>6</v>
      </c>
      <c r="N6" s="28">
        <f>IF(TournamentData[[#This Row],[Team Number]]="","",_xlfn.XLOOKUP(TournamentData[[#This Row],[Team Number]],RobotDesignResults[Team Number],RobotDesignResults[Engineering Design Rank],NumberOfTeams+1,0,))</f>
        <v>2</v>
      </c>
      <c r="O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11</v>
      </c>
      <c r="P6" s="29">
        <f>IF(TournamentData[[#This Row],[Team Number]]="","",IF(O6,RANK(O6,O$3:O$202,1)-COUNTIF(O$3:O$202,0),NumberOfTeams+1))</f>
        <v>2</v>
      </c>
      <c r="Q6" s="30">
        <f>_xlfn.XLOOKUP(TournamentData[[#This Row],[Team Number]],CoreValuesResults[Team Number],CoreValuesResults[Inspiration Selection],0,0,)</f>
        <v>0</v>
      </c>
      <c r="R6" s="33">
        <f>_xlfn.XLOOKUP(TournamentData[[#This Row],[Team Number]],CoreValuesResults[Team Number],CoreValuesResults[Rising All-Star Selection],0,0,)</f>
        <v>0</v>
      </c>
      <c r="S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1</v>
      </c>
      <c r="T6" s="31"/>
      <c r="U6" s="31"/>
      <c r="V6" s="32"/>
      <c r="W6" s="91">
        <f>_xlfn.XLOOKUP(TournamentData[[#This Row],[Team Number]],CoreValuesResults[Team Number],CoreValuesResults[Core Values Score],0,0,)</f>
        <v>32</v>
      </c>
      <c r="X6" s="91">
        <f>_xlfn.XLOOKUP(TournamentData[[#This Row],[Team Number]],InnovationProjectResults[Team Number],InnovationProjectResults[Innovation Project Score],0,0,)</f>
        <v>29</v>
      </c>
      <c r="Y6" s="91">
        <f>_xlfn.XLOOKUP(TournamentData[[#This Row],[Team Number]],RobotDesignResults[Team Number],RobotDesignResults[Engineering Design Score],0,0,)</f>
        <v>40</v>
      </c>
      <c r="Z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44.254975195387665</v>
      </c>
      <c r="AA6" s="93">
        <f t="shared" si="0"/>
        <v>2</v>
      </c>
      <c r="AB6" s="31"/>
    </row>
    <row r="7" spans="1:28" ht="21" customHeight="1" x14ac:dyDescent="0.25">
      <c r="A7">
        <f>_xlfn.XLOOKUP(5,OfficialTeamList[Row],OfficialTeamList[Team Number],"ERROR",0)</f>
        <v>1232</v>
      </c>
      <c r="B7" s="27" t="str">
        <f>_xlfn.XLOOKUP(TournamentData[[#This Row],[Team Number]],OfficialTeamList[Team Number],OfficialTeamList[Team Name],"",0,)</f>
        <v>Team 5</v>
      </c>
      <c r="C7" s="28">
        <f>IF(TournamentData[[#This Row],[Team Number]]="","",_xlfn.XLOOKUP(TournamentData[[#This Row],[Team Number]],RobotGameScores[Team Number],RobotGameScores[Match 1 Score],0,0,))</f>
        <v>55</v>
      </c>
      <c r="D7" s="28">
        <f>IF(TournamentData[[#This Row],[Team Number]]="","",_xlfn.XLOOKUP(TournamentData[[#This Row],[Team Number]],RobotGameScores[Team Number],RobotGameScores[Match 2 Score],0,0,))</f>
        <v>33</v>
      </c>
      <c r="E7" s="28">
        <f>IF(TournamentData[[#This Row],[Team Number]]="","",_xlfn.XLOOKUP(TournamentData[[#This Row],[Team Number]],RobotGameScores[Team Number],RobotGameScores[Match 3 Score],0,0,))</f>
        <v>85</v>
      </c>
      <c r="F7" s="28">
        <f>IF(TournamentData[[#This Row],[Team Number]]="","",_xlfn.XLOOKUP(TournamentData[[#This Row],[Team Number]],RobotGameScores[Team Number],RobotGameScores[Match 4 Score],0,0,))</f>
        <v>0</v>
      </c>
      <c r="G7" s="28">
        <f>IF(TournamentData[[#This Row],[Team Number]]="","",_xlfn.XLOOKUP(TournamentData[[#This Row],[Team Number]],RobotGameScores[Team Number],RobotGameScores[Match 5 Score],0,0,))</f>
        <v>0</v>
      </c>
      <c r="H7" s="28">
        <f>IF(TournamentData[[#This Row],[Team Name]]="","",_xlfn.XLOOKUP(TournamentData[[#This Row],[Team Name]],RobotGameScores[Team Name],RobotGameScores[Match 6 Score],0,0,))</f>
        <v>0</v>
      </c>
      <c r="I7" s="28">
        <v>85.005503300000001</v>
      </c>
      <c r="J7" s="28">
        <f>SUM(TournamentData[[#This Row],[Match Score 1]:[Match Score 6]])/NumberOfRounds</f>
        <v>57.666666666666664</v>
      </c>
      <c r="K7" s="59">
        <f>IF(TournamentData[[#This Row],[Team Number]]="","",1+COUNTIFS($J$3:$J$201,"&gt;"&amp;J7)+COUNTIFS($J$3:$J$201,J7,$I$3:$I$201,"&gt;"&amp;I7))</f>
        <v>4</v>
      </c>
      <c r="L7" s="28">
        <f>IF(TournamentData[[#This Row],[Team Number]]="","",_xlfn.XLOOKUP(TournamentData[[#This Row],[Team Number]],CoreValuesResults[Team Number],CoreValuesResults[Core Values Rank],NumberOfTeams+1,0,))</f>
        <v>5</v>
      </c>
      <c r="M7" s="28">
        <f>IF(TournamentData[[#This Row],[Team Number]]="","",_xlfn.XLOOKUP(TournamentData[[#This Row],[Team Number]],InnovationProjectResults[Team Number],InnovationProjectResults[Innovation Project Rank],NumberOfTeams+1,0,))</f>
        <v>3</v>
      </c>
      <c r="N7" s="28">
        <f>IF(TournamentData[[#This Row],[Team Number]]="","",_xlfn.XLOOKUP(TournamentData[[#This Row],[Team Number]],RobotDesignResults[Team Number],RobotDesignResults[Engineering Design Rank],NumberOfTeams+1,0,))</f>
        <v>5</v>
      </c>
      <c r="O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17</v>
      </c>
      <c r="P7" s="29">
        <f>IF(TournamentData[[#This Row],[Team Number]]="","",IF(O7,RANK(O7,O$3:O$202,1)-COUNTIF(O$3:O$202,0),NumberOfTeams+1))</f>
        <v>3</v>
      </c>
      <c r="Q7" s="30">
        <f>_xlfn.XLOOKUP(TournamentData[[#This Row],[Team Number]],CoreValuesResults[Team Number],CoreValuesResults[Inspiration Selection],0,0,)</f>
        <v>0</v>
      </c>
      <c r="R7" s="30">
        <f>_xlfn.XLOOKUP(TournamentData[[#This Row],[Team Number]],CoreValuesResults[Team Number],CoreValuesResults[Rising All-Star Selection],0,0,)</f>
        <v>0</v>
      </c>
      <c r="S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7" s="31"/>
      <c r="U7" s="31"/>
      <c r="V7" s="32"/>
      <c r="W7" s="91">
        <f>_xlfn.XLOOKUP(TournamentData[[#This Row],[Team Number]],CoreValuesResults[Team Number],CoreValuesResults[Core Values Score],0,0,)</f>
        <v>24</v>
      </c>
      <c r="X7" s="91">
        <f>_xlfn.XLOOKUP(TournamentData[[#This Row],[Team Number]],InnovationProjectResults[Team Number],InnovationProjectResults[Innovation Project Score],0,0,)</f>
        <v>31</v>
      </c>
      <c r="Y7" s="91">
        <f>_xlfn.XLOOKUP(TournamentData[[#This Row],[Team Number]],RobotDesignResults[Team Number],RobotDesignResults[Engineering Design Score],0,0,)</f>
        <v>26</v>
      </c>
      <c r="Z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32.498834256807029</v>
      </c>
      <c r="AA7" s="93">
        <f t="shared" si="0"/>
        <v>5</v>
      </c>
      <c r="AB7" s="31"/>
    </row>
    <row r="8" spans="1:28" ht="21" customHeight="1" x14ac:dyDescent="0.25">
      <c r="A8">
        <f>_xlfn.XLOOKUP(6,OfficialTeamList[Row],OfficialTeamList[Team Number],"ERROR",0)</f>
        <v>6262</v>
      </c>
      <c r="B8" s="27" t="str">
        <f>_xlfn.XLOOKUP(TournamentData[[#This Row],[Team Number]],OfficialTeamList[Team Number],OfficialTeamList[Team Name],"",0,)</f>
        <v>Team 6</v>
      </c>
      <c r="C8" s="28">
        <f>IF(TournamentData[[#This Row],[Team Number]]="","",_xlfn.XLOOKUP(TournamentData[[#This Row],[Team Number]],RobotGameScores[Team Number],RobotGameScores[Match 1 Score],0,0,))</f>
        <v>95</v>
      </c>
      <c r="D8" s="28">
        <f>IF(TournamentData[[#This Row],[Team Number]]="","",_xlfn.XLOOKUP(TournamentData[[#This Row],[Team Number]],RobotGameScores[Team Number],RobotGameScores[Match 2 Score],0,0,))</f>
        <v>33</v>
      </c>
      <c r="E8" s="28">
        <f>IF(TournamentData[[#This Row],[Team Number]]="","",_xlfn.XLOOKUP(TournamentData[[#This Row],[Team Number]],RobotGameScores[Team Number],RobotGameScores[Match 3 Score],0,0,))</f>
        <v>45</v>
      </c>
      <c r="F8" s="28">
        <f>IF(TournamentData[[#This Row],[Team Number]]="","",_xlfn.XLOOKUP(TournamentData[[#This Row],[Team Number]],RobotGameScores[Team Number],RobotGameScores[Match 4 Score],0,0,))</f>
        <v>0</v>
      </c>
      <c r="G8" s="28">
        <f>IF(TournamentData[[#This Row],[Team Number]]="","",_xlfn.XLOOKUP(TournamentData[[#This Row],[Team Number]],RobotGameScores[Team Number],RobotGameScores[Match 5 Score],0,0,))</f>
        <v>0</v>
      </c>
      <c r="H8" s="28">
        <f>IF(TournamentData[[#This Row],[Team Name]]="","",_xlfn.XLOOKUP(TournamentData[[#This Row],[Team Name]],RobotGameScores[Team Name],RobotGameScores[Match 6 Score],0,0,))</f>
        <v>0</v>
      </c>
      <c r="I8" s="28">
        <v>95.004503299999996</v>
      </c>
      <c r="J8" s="28">
        <f>SUM(TournamentData[[#This Row],[Match Score 1]:[Match Score 6]])/NumberOfRounds</f>
        <v>57.666666666666664</v>
      </c>
      <c r="K8" s="60">
        <f>IF(TournamentData[[#This Row],[Team Number]]="","",1+COUNTIFS($J$3:$J$201,"&gt;"&amp;J8)+COUNTIFS($J$3:$J$201,J8,$I$3:$I$201,"&gt;"&amp;I8))</f>
        <v>3</v>
      </c>
      <c r="L8" s="28">
        <f>IF(TournamentData[[#This Row],[Team Number]]="","",_xlfn.XLOOKUP(TournamentData[[#This Row],[Team Number]],CoreValuesResults[Team Number],CoreValuesResults[Core Values Rank],NumberOfTeams+1,0,))</f>
        <v>6</v>
      </c>
      <c r="M8" s="28">
        <f>IF(TournamentData[[#This Row],[Team Number]]="","",_xlfn.XLOOKUP(TournamentData[[#This Row],[Team Number]],InnovationProjectResults[Team Number],InnovationProjectResults[Innovation Project Rank],NumberOfTeams+1,0,))</f>
        <v>8</v>
      </c>
      <c r="N8" s="28">
        <f>IF(TournamentData[[#This Row],[Team Number]]="","",_xlfn.XLOOKUP(TournamentData[[#This Row],[Team Number]],RobotDesignResults[Team Number],RobotDesignResults[Engineering Design Rank],NumberOfTeams+1,0,))</f>
        <v>7</v>
      </c>
      <c r="O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24</v>
      </c>
      <c r="P8" s="29">
        <f>IF(TournamentData[[#This Row],[Team Number]]="","",IF(O8,RANK(O8,O$3:O$202,1)-COUNTIF(O$3:O$202,0),NumberOfTeams+1))</f>
        <v>7</v>
      </c>
      <c r="Q8" s="30">
        <f>_xlfn.XLOOKUP(TournamentData[[#This Row],[Team Number]],CoreValuesResults[Team Number],CoreValuesResults[Inspiration Selection],0,0,)</f>
        <v>0</v>
      </c>
      <c r="R8" s="30">
        <f>_xlfn.XLOOKUP(TournamentData[[#This Row],[Team Number]],CoreValuesResults[Team Number],CoreValuesResults[Rising All-Star Selection],0,0,)</f>
        <v>0</v>
      </c>
      <c r="S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8" s="31"/>
      <c r="U8" s="31"/>
      <c r="V8" s="32"/>
      <c r="W8" s="91">
        <f>_xlfn.XLOOKUP(TournamentData[[#This Row],[Team Number]],CoreValuesResults[Team Number],CoreValuesResults[Core Values Score],0,0,)</f>
        <v>23</v>
      </c>
      <c r="X8" s="91">
        <f>_xlfn.XLOOKUP(TournamentData[[#This Row],[Team Number]],InnovationProjectResults[Team Number],InnovationProjectResults[Innovation Project Score],0,0,)</f>
        <v>24</v>
      </c>
      <c r="Y8" s="91">
        <f>_xlfn.XLOOKUP(TournamentData[[#This Row],[Team Number]],RobotDesignResults[Team Number],RobotDesignResults[Engineering Design Score],0,0,)</f>
        <v>24</v>
      </c>
      <c r="Z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29.564381102846159</v>
      </c>
      <c r="AA8" s="93">
        <f t="shared" si="0"/>
        <v>7</v>
      </c>
      <c r="AB8" s="31"/>
    </row>
    <row r="9" spans="1:28" ht="21" customHeight="1" x14ac:dyDescent="0.25">
      <c r="A9">
        <f>_xlfn.XLOOKUP(7,OfficialTeamList[Row],OfficialTeamList[Team Number],"ERROR",0)</f>
        <v>46844</v>
      </c>
      <c r="B9" s="27" t="str">
        <f>_xlfn.XLOOKUP(TournamentData[[#This Row],[Team Number]],OfficialTeamList[Team Number],OfficialTeamList[Team Name],"",0,)</f>
        <v>Team 7</v>
      </c>
      <c r="C9" s="28">
        <f>IF(TournamentData[[#This Row],[Team Number]]="","",_xlfn.XLOOKUP(TournamentData[[#This Row],[Team Number]],RobotGameScores[Team Number],RobotGameScores[Match 1 Score],0,0,))</f>
        <v>55</v>
      </c>
      <c r="D9" s="28">
        <f>IF(TournamentData[[#This Row],[Team Number]]="","",_xlfn.XLOOKUP(TournamentData[[#This Row],[Team Number]],RobotGameScores[Team Number],RobotGameScores[Match 2 Score],0,0,))</f>
        <v>66</v>
      </c>
      <c r="E9" s="28">
        <f>IF(TournamentData[[#This Row],[Team Number]]="","",_xlfn.XLOOKUP(TournamentData[[#This Row],[Team Number]],RobotGameScores[Team Number],RobotGameScores[Match 3 Score],0,0,))</f>
        <v>18</v>
      </c>
      <c r="F9" s="28">
        <f>IF(TournamentData[[#This Row],[Team Number]]="","",_xlfn.XLOOKUP(TournamentData[[#This Row],[Team Number]],RobotGameScores[Team Number],RobotGameScores[Match 4 Score],0,0,))</f>
        <v>0</v>
      </c>
      <c r="G9" s="28">
        <f>IF(TournamentData[[#This Row],[Team Number]]="","",_xlfn.XLOOKUP(TournamentData[[#This Row],[Team Number]],RobotGameScores[Team Number],RobotGameScores[Match 5 Score],0,0,))</f>
        <v>0</v>
      </c>
      <c r="H9" s="28">
        <f>IF(TournamentData[[#This Row],[Team Name]]="","",_xlfn.XLOOKUP(TournamentData[[#This Row],[Team Name]],RobotGameScores[Team Name],RobotGameScores[Match 6 Score],0,0,))</f>
        <v>0</v>
      </c>
      <c r="I9" s="28">
        <v>66.005501800000005</v>
      </c>
      <c r="J9" s="28">
        <f>SUM(TournamentData[[#This Row],[Match Score 1]:[Match Score 6]])/NumberOfRounds</f>
        <v>46.333333333333336</v>
      </c>
      <c r="K9" s="59">
        <f>IF(TournamentData[[#This Row],[Team Number]]="","",1+COUNTIFS($J$3:$J$201,"&gt;"&amp;J9)+COUNTIFS($J$3:$J$201,J9,$I$3:$I$201,"&gt;"&amp;I9))</f>
        <v>8</v>
      </c>
      <c r="L9" s="28">
        <f>IF(TournamentData[[#This Row],[Team Number]]="","",_xlfn.XLOOKUP(TournamentData[[#This Row],[Team Number]],CoreValuesResults[Team Number],CoreValuesResults[Core Values Rank],NumberOfTeams+1,0,))</f>
        <v>3</v>
      </c>
      <c r="M9" s="28">
        <f>IF(TournamentData[[#This Row],[Team Number]]="","",_xlfn.XLOOKUP(TournamentData[[#This Row],[Team Number]],InnovationProjectResults[Team Number],InnovationProjectResults[Innovation Project Rank],NumberOfTeams+1,0,))</f>
        <v>5</v>
      </c>
      <c r="N9" s="28">
        <f>IF(TournamentData[[#This Row],[Team Number]]="","",_xlfn.XLOOKUP(TournamentData[[#This Row],[Team Number]],RobotDesignResults[Team Number],RobotDesignResults[Engineering Design Rank],NumberOfTeams+1,0,))</f>
        <v>3</v>
      </c>
      <c r="O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19</v>
      </c>
      <c r="P9" s="29">
        <f>IF(TournamentData[[#This Row],[Team Number]]="","",IF(O9,RANK(O9,O$3:O$202,1)-COUNTIF(O$3:O$202,0),NumberOfTeams+1))</f>
        <v>5</v>
      </c>
      <c r="Q9" s="30">
        <f>_xlfn.XLOOKUP(TournamentData[[#This Row],[Team Number]],CoreValuesResults[Team Number],CoreValuesResults[Inspiration Selection],0,0,)</f>
        <v>0</v>
      </c>
      <c r="R9" s="30">
        <f>_xlfn.XLOOKUP(TournamentData[[#This Row],[Team Number]],CoreValuesResults[Team Number],CoreValuesResults[Rising All-Star Selection],0,0,)</f>
        <v>0</v>
      </c>
      <c r="S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9" s="31"/>
      <c r="U9" s="31"/>
      <c r="V9" s="32"/>
      <c r="W9" s="91">
        <f>_xlfn.XLOOKUP(TournamentData[[#This Row],[Team Number]],CoreValuesResults[Team Number],CoreValuesResults[Core Values Score],0,0,)</f>
        <v>30</v>
      </c>
      <c r="X9" s="91">
        <f>_xlfn.XLOOKUP(TournamentData[[#This Row],[Team Number]],InnovationProjectResults[Team Number],InnovationProjectResults[Innovation Project Score],0,0,)</f>
        <v>30</v>
      </c>
      <c r="Y9" s="91">
        <f>_xlfn.XLOOKUP(TournamentData[[#This Row],[Team Number]],RobotDesignResults[Team Number],RobotDesignResults[Engineering Design Score],0,0,)</f>
        <v>31</v>
      </c>
      <c r="Z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33.718980657593924</v>
      </c>
      <c r="AA9" s="93">
        <f t="shared" si="0"/>
        <v>3</v>
      </c>
      <c r="AB9" s="31"/>
    </row>
    <row r="10" spans="1:28" ht="21" customHeight="1" x14ac:dyDescent="0.25">
      <c r="A10">
        <f>_xlfn.XLOOKUP(8,OfficialTeamList[Row],OfficialTeamList[Team Number],"ERROR",0)</f>
        <v>26466</v>
      </c>
      <c r="B10" s="27" t="str">
        <f>_xlfn.XLOOKUP(TournamentData[[#This Row],[Team Number]],OfficialTeamList[Team Number],OfficialTeamList[Team Name],"",0,)</f>
        <v>Team 8</v>
      </c>
      <c r="C10" s="28">
        <f>IF(TournamentData[[#This Row],[Team Number]]="","",_xlfn.XLOOKUP(TournamentData[[#This Row],[Team Number]],RobotGameScores[Team Number],RobotGameScores[Match 1 Score],0,0,))</f>
        <v>0</v>
      </c>
      <c r="D10" s="28">
        <f>IF(TournamentData[[#This Row],[Team Number]]="","",_xlfn.XLOOKUP(TournamentData[[#This Row],[Team Number]],RobotGameScores[Team Number],RobotGameScores[Match 2 Score],0,0,))</f>
        <v>54</v>
      </c>
      <c r="E10" s="28">
        <f>IF(TournamentData[[#This Row],[Team Number]]="","",_xlfn.XLOOKUP(TournamentData[[#This Row],[Team Number]],RobotGameScores[Team Number],RobotGameScores[Match 3 Score],0,0,))</f>
        <v>86</v>
      </c>
      <c r="F10" s="28">
        <f>IF(TournamentData[[#This Row],[Team Number]]="","",_xlfn.XLOOKUP(TournamentData[[#This Row],[Team Number]],RobotGameScores[Team Number],RobotGameScores[Match 4 Score],0,0,))</f>
        <v>4</v>
      </c>
      <c r="G10" s="28">
        <f>IF(TournamentData[[#This Row],[Team Number]]="","",_xlfn.XLOOKUP(TournamentData[[#This Row],[Team Number]],RobotGameScores[Team Number],RobotGameScores[Match 5 Score],0,0,))</f>
        <v>5</v>
      </c>
      <c r="H10" s="28">
        <f>IF(TournamentData[[#This Row],[Team Name]]="","",_xlfn.XLOOKUP(TournamentData[[#This Row],[Team Name]],RobotGameScores[Team Name],RobotGameScores[Match 6 Score],0,0,))</f>
        <v>6</v>
      </c>
      <c r="I10" s="28">
        <v>86.005400600050038</v>
      </c>
      <c r="J10" s="28">
        <f>SUM(TournamentData[[#This Row],[Match Score 1]:[Match Score 6]])/NumberOfRounds</f>
        <v>51.666666666666664</v>
      </c>
      <c r="K10" s="60">
        <f>IF(TournamentData[[#This Row],[Team Number]]="","",1+COUNTIFS($J$3:$J$201,"&gt;"&amp;J10)+COUNTIFS($J$3:$J$201,J10,$I$3:$I$201,"&gt;"&amp;I10))</f>
        <v>6</v>
      </c>
      <c r="L10" s="28">
        <f>IF(TournamentData[[#This Row],[Team Number]]="","",_xlfn.XLOOKUP(TournamentData[[#This Row],[Team Number]],CoreValuesResults[Team Number],CoreValuesResults[Core Values Rank],NumberOfTeams+1,0,))</f>
        <v>7</v>
      </c>
      <c r="M10" s="28">
        <f>IF(TournamentData[[#This Row],[Team Number]]="","",_xlfn.XLOOKUP(TournamentData[[#This Row],[Team Number]],InnovationProjectResults[Team Number],InnovationProjectResults[Innovation Project Rank],NumberOfTeams+1,0,))</f>
        <v>2</v>
      </c>
      <c r="N10" s="28">
        <f>IF(TournamentData[[#This Row],[Team Number]]="","",_xlfn.XLOOKUP(TournamentData[[#This Row],[Team Number]],RobotDesignResults[Team Number],RobotDesignResults[Engineering Design Rank],NumberOfTeams+1,0,))</f>
        <v>8</v>
      </c>
      <c r="O1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23</v>
      </c>
      <c r="P10" s="29">
        <f>IF(TournamentData[[#This Row],[Team Number]]="","",IF(O10,RANK(O10,O$3:O$202,1)-COUNTIF(O$3:O$202,0),NumberOfTeams+1))</f>
        <v>6</v>
      </c>
      <c r="Q10" s="30">
        <f>_xlfn.XLOOKUP(TournamentData[[#This Row],[Team Number]],CoreValuesResults[Team Number],CoreValuesResults[Inspiration Selection],0,0,)</f>
        <v>0</v>
      </c>
      <c r="R10" s="30">
        <f>_xlfn.XLOOKUP(TournamentData[[#This Row],[Team Number]],CoreValuesResults[Team Number],CoreValuesResults[Rising All-Star Selection],0,0,)</f>
        <v>0</v>
      </c>
      <c r="S1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1</v>
      </c>
      <c r="T10" s="31"/>
      <c r="U10" s="31"/>
      <c r="V10" s="32"/>
      <c r="W10" s="91">
        <f>_xlfn.XLOOKUP(TournamentData[[#This Row],[Team Number]],CoreValuesResults[Team Number],CoreValuesResults[Core Values Score],0,0,)</f>
        <v>21</v>
      </c>
      <c r="X10" s="91">
        <f>_xlfn.XLOOKUP(TournamentData[[#This Row],[Team Number]],InnovationProjectResults[Team Number],InnovationProjectResults[Innovation Project Score],0,0,)</f>
        <v>33</v>
      </c>
      <c r="Y10" s="91">
        <f>_xlfn.XLOOKUP(TournamentData[[#This Row],[Team Number]],RobotDesignResults[Team Number],RobotDesignResults[Engineering Design Score],0,0,)</f>
        <v>22</v>
      </c>
      <c r="Z1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29.791446443124403</v>
      </c>
      <c r="AA10" s="93">
        <f t="shared" si="0"/>
        <v>6</v>
      </c>
      <c r="AB10" s="31"/>
    </row>
    <row r="11" spans="1:28" ht="21" customHeight="1" x14ac:dyDescent="0.25">
      <c r="A11">
        <f>_xlfn.XLOOKUP(9,OfficialTeamList[Row],OfficialTeamList[Team Number],"ERROR",0)</f>
        <v>0</v>
      </c>
      <c r="B11" s="27" t="str">
        <f>_xlfn.XLOOKUP(TournamentData[[#This Row],[Team Number]],OfficialTeamList[Team Number],OfficialTeamList[Team Name],"",0,)</f>
        <v/>
      </c>
      <c r="C11" s="28">
        <f>IF(TournamentData[[#This Row],[Team Number]]="","",_xlfn.XLOOKUP(TournamentData[[#This Row],[Team Number]],RobotGameScores[Team Number],RobotGameScores[Match 1 Score],0,0,))</f>
        <v>0</v>
      </c>
      <c r="D11" s="28">
        <f>IF(TournamentData[[#This Row],[Team Number]]="","",_xlfn.XLOOKUP(TournamentData[[#This Row],[Team Number]],RobotGameScores[Team Number],RobotGameScores[Match 2 Score],0,0,))</f>
        <v>0</v>
      </c>
      <c r="E11" s="28">
        <f>IF(TournamentData[[#This Row],[Team Number]]="","",_xlfn.XLOOKUP(TournamentData[[#This Row],[Team Number]],RobotGameScores[Team Number],RobotGameScores[Match 3 Score],0,0,))</f>
        <v>0</v>
      </c>
      <c r="F11" s="28">
        <f>IF(TournamentData[[#This Row],[Team Number]]="","",_xlfn.XLOOKUP(TournamentData[[#This Row],[Team Number]],RobotGameScores[Team Number],RobotGameScores[Match 4 Score],0,0,))</f>
        <v>0</v>
      </c>
      <c r="G11" s="28">
        <f>IF(TournamentData[[#This Row],[Team Number]]="","",_xlfn.XLOOKUP(TournamentData[[#This Row],[Team Number]],RobotGameScores[Team Number],RobotGameScores[Match 5 Score],0,0,))</f>
        <v>0</v>
      </c>
      <c r="H11" s="28" t="str">
        <f>IF(TournamentData[[#This Row],[Team Name]]="","",_xlfn.XLOOKUP(TournamentData[[#This Row],[Team Name]],RobotGameScores[Team Name],RobotGameScores[Match 6 Score],0,0,))</f>
        <v/>
      </c>
      <c r="I11" s="28">
        <v>0</v>
      </c>
      <c r="J11" s="28">
        <f>SUM(TournamentData[[#This Row],[Match Score 1]:[Match Score 6]])/NumberOfRounds</f>
        <v>0</v>
      </c>
      <c r="K11" s="59">
        <f>IF(TournamentData[[#This Row],[Team Number]]="","",1+COUNTIFS($J$3:$J$201,"&gt;"&amp;J11)+COUNTIFS($J$3:$J$201,J11,$I$3:$I$201,"&gt;"&amp;I11))</f>
        <v>9</v>
      </c>
      <c r="L11" s="28">
        <f>IF(TournamentData[[#This Row],[Team Number]]="","",_xlfn.XLOOKUP(TournamentData[[#This Row],[Team Number]],CoreValuesResults[Team Number],CoreValuesResults[Core Values Rank],NumberOfTeams+1,0,))</f>
        <v>9</v>
      </c>
      <c r="M11" s="28">
        <f>IF(TournamentData[[#This Row],[Team Number]]="","",_xlfn.XLOOKUP(TournamentData[[#This Row],[Team Number]],InnovationProjectResults[Team Number],InnovationProjectResults[Innovation Project Rank],NumberOfTeams+1,0,))</f>
        <v>9</v>
      </c>
      <c r="N11" s="28">
        <f>IF(TournamentData[[#This Row],[Team Number]]="","",_xlfn.XLOOKUP(TournamentData[[#This Row],[Team Number]],RobotDesignResults[Team Number],RobotDesignResults[Engineering Design Rank],NumberOfTeams+1,0,))</f>
        <v>9</v>
      </c>
      <c r="O1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1" s="29">
        <f>IF(TournamentData[[#This Row],[Team Number]]="","",IF(O11,RANK(O11,O$3:O$202,1)-COUNTIF(O$3:O$202,0),NumberOfTeams+1))</f>
        <v>9</v>
      </c>
      <c r="Q11" s="30">
        <f>_xlfn.XLOOKUP(TournamentData[[#This Row],[Team Number]],CoreValuesResults[Team Number],CoreValuesResults[Inspiration Selection],0,0,)</f>
        <v>0</v>
      </c>
      <c r="R11" s="30">
        <f>_xlfn.XLOOKUP(TournamentData[[#This Row],[Team Number]],CoreValuesResults[Team Number],CoreValuesResults[Rising All-Star Selection],0,0,)</f>
        <v>0</v>
      </c>
      <c r="S1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1" s="31"/>
      <c r="U11" s="31"/>
      <c r="V11" s="32"/>
      <c r="W11" s="91">
        <f>_xlfn.XLOOKUP(TournamentData[[#This Row],[Team Number]],CoreValuesResults[Team Number],CoreValuesResults[Core Values Score],0,0,)</f>
        <v>0</v>
      </c>
      <c r="X11" s="91">
        <f>_xlfn.XLOOKUP(TournamentData[[#This Row],[Team Number]],InnovationProjectResults[Team Number],InnovationProjectResults[Innovation Project Score],0,0,)</f>
        <v>0</v>
      </c>
      <c r="Y11" s="91">
        <f>_xlfn.XLOOKUP(TournamentData[[#This Row],[Team Number]],RobotDesignResults[Team Number],RobotDesignResults[Engineering Design Score],0,0,)</f>
        <v>0</v>
      </c>
      <c r="Z1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1" s="93">
        <f t="shared" si="0"/>
        <v>8</v>
      </c>
      <c r="AB11" s="31"/>
    </row>
    <row r="12" spans="1:28" ht="21" customHeight="1" x14ac:dyDescent="0.25">
      <c r="A12">
        <f>_xlfn.XLOOKUP(10,OfficialTeamList[Row],OfficialTeamList[Team Number],"ERROR",0)</f>
        <v>0</v>
      </c>
      <c r="B12" s="27" t="str">
        <f>_xlfn.XLOOKUP(TournamentData[[#This Row],[Team Number]],OfficialTeamList[Team Number],OfficialTeamList[Team Name],"",0,)</f>
        <v/>
      </c>
      <c r="C12" s="28">
        <f>IF(TournamentData[[#This Row],[Team Number]]="","",_xlfn.XLOOKUP(TournamentData[[#This Row],[Team Number]],RobotGameScores[Team Number],RobotGameScores[Match 1 Score],0,0,))</f>
        <v>0</v>
      </c>
      <c r="D12" s="28">
        <f>IF(TournamentData[[#This Row],[Team Number]]="","",_xlfn.XLOOKUP(TournamentData[[#This Row],[Team Number]],RobotGameScores[Team Number],RobotGameScores[Match 2 Score],0,0,))</f>
        <v>0</v>
      </c>
      <c r="E12" s="28">
        <f>IF(TournamentData[[#This Row],[Team Number]]="","",_xlfn.XLOOKUP(TournamentData[[#This Row],[Team Number]],RobotGameScores[Team Number],RobotGameScores[Match 3 Score],0,0,))</f>
        <v>0</v>
      </c>
      <c r="F12" s="28">
        <f>IF(TournamentData[[#This Row],[Team Number]]="","",_xlfn.XLOOKUP(TournamentData[[#This Row],[Team Number]],RobotGameScores[Team Number],RobotGameScores[Match 4 Score],0,0,))</f>
        <v>0</v>
      </c>
      <c r="G12" s="28">
        <f>IF(TournamentData[[#This Row],[Team Number]]="","",_xlfn.XLOOKUP(TournamentData[[#This Row],[Team Number]],RobotGameScores[Team Number],RobotGameScores[Match 5 Score],0,0,))</f>
        <v>0</v>
      </c>
      <c r="H12" s="28" t="str">
        <f>IF(TournamentData[[#This Row],[Team Name]]="","",_xlfn.XLOOKUP(TournamentData[[#This Row],[Team Name]],RobotGameScores[Team Name],RobotGameScores[Match 6 Score],0,0,))</f>
        <v/>
      </c>
      <c r="I12" s="28">
        <v>0</v>
      </c>
      <c r="J12" s="28">
        <f>SUM(TournamentData[[#This Row],[Match Score 1]:[Match Score 6]])/NumberOfRounds</f>
        <v>0</v>
      </c>
      <c r="K12" s="60">
        <f>IF(TournamentData[[#This Row],[Team Number]]="","",1+COUNTIFS($J$3:$J$201,"&gt;"&amp;J12)+COUNTIFS($J$3:$J$201,J12,$I$3:$I$201,"&gt;"&amp;I12))</f>
        <v>9</v>
      </c>
      <c r="L12" s="28">
        <f>IF(TournamentData[[#This Row],[Team Number]]="","",_xlfn.XLOOKUP(TournamentData[[#This Row],[Team Number]],CoreValuesResults[Team Number],CoreValuesResults[Core Values Rank],NumberOfTeams+1,0,))</f>
        <v>9</v>
      </c>
      <c r="M12" s="28">
        <f>IF(TournamentData[[#This Row],[Team Number]]="","",_xlfn.XLOOKUP(TournamentData[[#This Row],[Team Number]],InnovationProjectResults[Team Number],InnovationProjectResults[Innovation Project Rank],NumberOfTeams+1,0,))</f>
        <v>9</v>
      </c>
      <c r="N12" s="28">
        <f>IF(TournamentData[[#This Row],[Team Number]]="","",_xlfn.XLOOKUP(TournamentData[[#This Row],[Team Number]],RobotDesignResults[Team Number],RobotDesignResults[Engineering Design Rank],NumberOfTeams+1,0,))</f>
        <v>9</v>
      </c>
      <c r="O1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2" s="29">
        <f>IF(TournamentData[[#This Row],[Team Number]]="","",IF(O12,RANK(O12,O$3:O$202,1)-COUNTIF(O$3:O$202,0),NumberOfTeams+1))</f>
        <v>9</v>
      </c>
      <c r="Q12" s="30">
        <f>_xlfn.XLOOKUP(TournamentData[[#This Row],[Team Number]],CoreValuesResults[Team Number],CoreValuesResults[Inspiration Selection],0,0,)</f>
        <v>0</v>
      </c>
      <c r="R12" s="30">
        <f>_xlfn.XLOOKUP(TournamentData[[#This Row],[Team Number]],CoreValuesResults[Team Number],CoreValuesResults[Rising All-Star Selection],0,0,)</f>
        <v>0</v>
      </c>
      <c r="S1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2" s="31"/>
      <c r="U12" s="31"/>
      <c r="V12" s="32"/>
      <c r="W12" s="91">
        <f>_xlfn.XLOOKUP(TournamentData[[#This Row],[Team Number]],CoreValuesResults[Team Number],CoreValuesResults[Core Values Score],0,0,)</f>
        <v>0</v>
      </c>
      <c r="X12" s="91">
        <f>_xlfn.XLOOKUP(TournamentData[[#This Row],[Team Number]],InnovationProjectResults[Team Number],InnovationProjectResults[Innovation Project Score],0,0,)</f>
        <v>0</v>
      </c>
      <c r="Y12" s="91">
        <f>_xlfn.XLOOKUP(TournamentData[[#This Row],[Team Number]],RobotDesignResults[Team Number],RobotDesignResults[Engineering Design Score],0,0,)</f>
        <v>0</v>
      </c>
      <c r="Z1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2" s="93">
        <f t="shared" si="0"/>
        <v>8</v>
      </c>
      <c r="AB12" s="31"/>
    </row>
    <row r="13" spans="1:28" ht="21" customHeight="1" x14ac:dyDescent="0.25">
      <c r="A13">
        <f>_xlfn.XLOOKUP(11,OfficialTeamList[Row],OfficialTeamList[Team Number],"ERROR",0)</f>
        <v>0</v>
      </c>
      <c r="B13" s="27" t="str">
        <f>_xlfn.XLOOKUP(TournamentData[[#This Row],[Team Number]],OfficialTeamList[Team Number],OfficialTeamList[Team Name],"",0,)</f>
        <v/>
      </c>
      <c r="C13" s="28">
        <f>IF(TournamentData[[#This Row],[Team Number]]="","",_xlfn.XLOOKUP(TournamentData[[#This Row],[Team Number]],RobotGameScores[Team Number],RobotGameScores[Match 1 Score],0,0,))</f>
        <v>0</v>
      </c>
      <c r="D13" s="28">
        <f>IF(TournamentData[[#This Row],[Team Number]]="","",_xlfn.XLOOKUP(TournamentData[[#This Row],[Team Number]],RobotGameScores[Team Number],RobotGameScores[Match 2 Score],0,0,))</f>
        <v>0</v>
      </c>
      <c r="E13" s="28">
        <f>IF(TournamentData[[#This Row],[Team Number]]="","",_xlfn.XLOOKUP(TournamentData[[#This Row],[Team Number]],RobotGameScores[Team Number],RobotGameScores[Match 3 Score],0,0,))</f>
        <v>0</v>
      </c>
      <c r="F13" s="28">
        <f>IF(TournamentData[[#This Row],[Team Number]]="","",_xlfn.XLOOKUP(TournamentData[[#This Row],[Team Number]],RobotGameScores[Team Number],RobotGameScores[Match 4 Score],0,0,))</f>
        <v>0</v>
      </c>
      <c r="G13" s="28">
        <f>IF(TournamentData[[#This Row],[Team Number]]="","",_xlfn.XLOOKUP(TournamentData[[#This Row],[Team Number]],RobotGameScores[Team Number],RobotGameScores[Match 5 Score],0,0,))</f>
        <v>0</v>
      </c>
      <c r="H13" s="28" t="str">
        <f>IF(TournamentData[[#This Row],[Team Name]]="","",_xlfn.XLOOKUP(TournamentData[[#This Row],[Team Name]],RobotGameScores[Team Name],RobotGameScores[Match 6 Score],0,0,))</f>
        <v/>
      </c>
      <c r="I13" s="28">
        <v>0</v>
      </c>
      <c r="J13" s="28">
        <f>SUM(TournamentData[[#This Row],[Match Score 1]:[Match Score 6]])/NumberOfRounds</f>
        <v>0</v>
      </c>
      <c r="K13" s="59">
        <f>IF(TournamentData[[#This Row],[Team Number]]="","",1+COUNTIFS($J$3:$J$201,"&gt;"&amp;J13)+COUNTIFS($J$3:$J$201,J13,$I$3:$I$201,"&gt;"&amp;I13))</f>
        <v>9</v>
      </c>
      <c r="L13" s="28">
        <f>IF(TournamentData[[#This Row],[Team Number]]="","",_xlfn.XLOOKUP(TournamentData[[#This Row],[Team Number]],CoreValuesResults[Team Number],CoreValuesResults[Core Values Rank],NumberOfTeams+1,0,))</f>
        <v>9</v>
      </c>
      <c r="M13" s="28">
        <f>IF(TournamentData[[#This Row],[Team Number]]="","",_xlfn.XLOOKUP(TournamentData[[#This Row],[Team Number]],InnovationProjectResults[Team Number],InnovationProjectResults[Innovation Project Rank],NumberOfTeams+1,0,))</f>
        <v>9</v>
      </c>
      <c r="N13" s="28">
        <f>IF(TournamentData[[#This Row],[Team Number]]="","",_xlfn.XLOOKUP(TournamentData[[#This Row],[Team Number]],RobotDesignResults[Team Number],RobotDesignResults[Engineering Design Rank],NumberOfTeams+1,0,))</f>
        <v>9</v>
      </c>
      <c r="O1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3" s="29">
        <f>IF(TournamentData[[#This Row],[Team Number]]="","",IF(O13,RANK(O13,O$3:O$202,1)-COUNTIF(O$3:O$202,0),NumberOfTeams+1))</f>
        <v>9</v>
      </c>
      <c r="Q13" s="30">
        <f>_xlfn.XLOOKUP(TournamentData[[#This Row],[Team Number]],CoreValuesResults[Team Number],CoreValuesResults[Inspiration Selection],0,0,)</f>
        <v>0</v>
      </c>
      <c r="R13" s="30">
        <f>_xlfn.XLOOKUP(TournamentData[[#This Row],[Team Number]],CoreValuesResults[Team Number],CoreValuesResults[Rising All-Star Selection],0,0,)</f>
        <v>0</v>
      </c>
      <c r="S1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3" s="31"/>
      <c r="U13" s="31"/>
      <c r="V13" s="32"/>
      <c r="W13" s="91">
        <f>_xlfn.XLOOKUP(TournamentData[[#This Row],[Team Number]],CoreValuesResults[Team Number],CoreValuesResults[Core Values Score],0,0,)</f>
        <v>0</v>
      </c>
      <c r="X13" s="91">
        <f>_xlfn.XLOOKUP(TournamentData[[#This Row],[Team Number]],InnovationProjectResults[Team Number],InnovationProjectResults[Innovation Project Score],0,0,)</f>
        <v>0</v>
      </c>
      <c r="Y13" s="91">
        <f>_xlfn.XLOOKUP(TournamentData[[#This Row],[Team Number]],RobotDesignResults[Team Number],RobotDesignResults[Engineering Design Score],0,0,)</f>
        <v>0</v>
      </c>
      <c r="Z1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3" s="93">
        <f t="shared" si="0"/>
        <v>8</v>
      </c>
      <c r="AB13" s="31"/>
    </row>
    <row r="14" spans="1:28" ht="21" customHeight="1" x14ac:dyDescent="0.25">
      <c r="A14">
        <f>_xlfn.XLOOKUP(12,OfficialTeamList[Row],OfficialTeamList[Team Number],"ERROR",0)</f>
        <v>0</v>
      </c>
      <c r="B14" s="27" t="str">
        <f>_xlfn.XLOOKUP(TournamentData[[#This Row],[Team Number]],OfficialTeamList[Team Number],OfficialTeamList[Team Name],"",0,)</f>
        <v/>
      </c>
      <c r="C14" s="28">
        <f>IF(TournamentData[[#This Row],[Team Number]]="","",_xlfn.XLOOKUP(TournamentData[[#This Row],[Team Number]],RobotGameScores[Team Number],RobotGameScores[Match 1 Score],0,0,))</f>
        <v>0</v>
      </c>
      <c r="D14" s="28">
        <f>IF(TournamentData[[#This Row],[Team Number]]="","",_xlfn.XLOOKUP(TournamentData[[#This Row],[Team Number]],RobotGameScores[Team Number],RobotGameScores[Match 2 Score],0,0,))</f>
        <v>0</v>
      </c>
      <c r="E14" s="28">
        <f>IF(TournamentData[[#This Row],[Team Number]]="","",_xlfn.XLOOKUP(TournamentData[[#This Row],[Team Number]],RobotGameScores[Team Number],RobotGameScores[Match 3 Score],0,0,))</f>
        <v>0</v>
      </c>
      <c r="F14" s="28">
        <f>IF(TournamentData[[#This Row],[Team Number]]="","",_xlfn.XLOOKUP(TournamentData[[#This Row],[Team Number]],RobotGameScores[Team Number],RobotGameScores[Match 4 Score],0,0,))</f>
        <v>0</v>
      </c>
      <c r="G14" s="28">
        <f>IF(TournamentData[[#This Row],[Team Number]]="","",_xlfn.XLOOKUP(TournamentData[[#This Row],[Team Number]],RobotGameScores[Team Number],RobotGameScores[Match 5 Score],0,0,))</f>
        <v>0</v>
      </c>
      <c r="H14" s="28" t="str">
        <f>IF(TournamentData[[#This Row],[Team Name]]="","",_xlfn.XLOOKUP(TournamentData[[#This Row],[Team Name]],RobotGameScores[Team Name],RobotGameScores[Match 6 Score],0,0,))</f>
        <v/>
      </c>
      <c r="I14" s="28">
        <v>0</v>
      </c>
      <c r="J14" s="28">
        <f>SUM(TournamentData[[#This Row],[Match Score 1]:[Match Score 6]])/NumberOfRounds</f>
        <v>0</v>
      </c>
      <c r="K14" s="60">
        <f>IF(TournamentData[[#This Row],[Team Number]]="","",1+COUNTIFS($J$3:$J$201,"&gt;"&amp;J14)+COUNTIFS($J$3:$J$201,J14,$I$3:$I$201,"&gt;"&amp;I14))</f>
        <v>9</v>
      </c>
      <c r="L14" s="28">
        <f>IF(TournamentData[[#This Row],[Team Number]]="","",_xlfn.XLOOKUP(TournamentData[[#This Row],[Team Number]],CoreValuesResults[Team Number],CoreValuesResults[Core Values Rank],NumberOfTeams+1,0,))</f>
        <v>9</v>
      </c>
      <c r="M14" s="28">
        <f>IF(TournamentData[[#This Row],[Team Number]]="","",_xlfn.XLOOKUP(TournamentData[[#This Row],[Team Number]],InnovationProjectResults[Team Number],InnovationProjectResults[Innovation Project Rank],NumberOfTeams+1,0,))</f>
        <v>9</v>
      </c>
      <c r="N14" s="28">
        <f>IF(TournamentData[[#This Row],[Team Number]]="","",_xlfn.XLOOKUP(TournamentData[[#This Row],[Team Number]],RobotDesignResults[Team Number],RobotDesignResults[Engineering Design Rank],NumberOfTeams+1,0,))</f>
        <v>9</v>
      </c>
      <c r="O1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4" s="29">
        <f>IF(TournamentData[[#This Row],[Team Number]]="","",IF(O14,RANK(O14,O$3:O$202,1)-COUNTIF(O$3:O$202,0),NumberOfTeams+1))</f>
        <v>9</v>
      </c>
      <c r="Q14" s="30">
        <f>_xlfn.XLOOKUP(TournamentData[[#This Row],[Team Number]],CoreValuesResults[Team Number],CoreValuesResults[Inspiration Selection],0,0,)</f>
        <v>0</v>
      </c>
      <c r="R14" s="30">
        <f>_xlfn.XLOOKUP(TournamentData[[#This Row],[Team Number]],CoreValuesResults[Team Number],CoreValuesResults[Rising All-Star Selection],0,0,)</f>
        <v>0</v>
      </c>
      <c r="S1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4" s="31"/>
      <c r="U14" s="31"/>
      <c r="V14" s="32"/>
      <c r="W14" s="91">
        <f>_xlfn.XLOOKUP(TournamentData[[#This Row],[Team Number]],CoreValuesResults[Team Number],CoreValuesResults[Core Values Score],0,0,)</f>
        <v>0</v>
      </c>
      <c r="X14" s="91">
        <f>_xlfn.XLOOKUP(TournamentData[[#This Row],[Team Number]],InnovationProjectResults[Team Number],InnovationProjectResults[Innovation Project Score],0,0,)</f>
        <v>0</v>
      </c>
      <c r="Y14" s="91">
        <f>_xlfn.XLOOKUP(TournamentData[[#This Row],[Team Number]],RobotDesignResults[Team Number],RobotDesignResults[Engineering Design Score],0,0,)</f>
        <v>0</v>
      </c>
      <c r="Z1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4" s="93">
        <f t="shared" si="0"/>
        <v>8</v>
      </c>
      <c r="AB14" s="31"/>
    </row>
    <row r="15" spans="1:28" ht="21" customHeight="1" x14ac:dyDescent="0.25">
      <c r="A15">
        <f>_xlfn.XLOOKUP(13,OfficialTeamList[Row],OfficialTeamList[Team Number],"ERROR",0)</f>
        <v>0</v>
      </c>
      <c r="B15" s="27" t="str">
        <f>_xlfn.XLOOKUP(TournamentData[[#This Row],[Team Number]],OfficialTeamList[Team Number],OfficialTeamList[Team Name],"",0,)</f>
        <v/>
      </c>
      <c r="C15" s="28">
        <f>IF(TournamentData[[#This Row],[Team Number]]="","",_xlfn.XLOOKUP(TournamentData[[#This Row],[Team Number]],RobotGameScores[Team Number],RobotGameScores[Match 1 Score],0,0,))</f>
        <v>0</v>
      </c>
      <c r="D15" s="28">
        <f>IF(TournamentData[[#This Row],[Team Number]]="","",_xlfn.XLOOKUP(TournamentData[[#This Row],[Team Number]],RobotGameScores[Team Number],RobotGameScores[Match 2 Score],0,0,))</f>
        <v>0</v>
      </c>
      <c r="E15" s="28">
        <f>IF(TournamentData[[#This Row],[Team Number]]="","",_xlfn.XLOOKUP(TournamentData[[#This Row],[Team Number]],RobotGameScores[Team Number],RobotGameScores[Match 3 Score],0,0,))</f>
        <v>0</v>
      </c>
      <c r="F15" s="28">
        <f>IF(TournamentData[[#This Row],[Team Number]]="","",_xlfn.XLOOKUP(TournamentData[[#This Row],[Team Number]],RobotGameScores[Team Number],RobotGameScores[Match 4 Score],0,0,))</f>
        <v>0</v>
      </c>
      <c r="G15" s="28">
        <f>IF(TournamentData[[#This Row],[Team Number]]="","",_xlfn.XLOOKUP(TournamentData[[#This Row],[Team Number]],RobotGameScores[Team Number],RobotGameScores[Match 5 Score],0,0,))</f>
        <v>0</v>
      </c>
      <c r="H15" s="28" t="str">
        <f>IF(TournamentData[[#This Row],[Team Name]]="","",_xlfn.XLOOKUP(TournamentData[[#This Row],[Team Name]],RobotGameScores[Team Name],RobotGameScores[Match 6 Score],0,0,))</f>
        <v/>
      </c>
      <c r="I15" s="28">
        <v>0</v>
      </c>
      <c r="J15" s="28">
        <f>SUM(TournamentData[[#This Row],[Match Score 1]:[Match Score 6]])/NumberOfRounds</f>
        <v>0</v>
      </c>
      <c r="K15" s="59">
        <f>IF(TournamentData[[#This Row],[Team Number]]="","",1+COUNTIFS($J$3:$J$201,"&gt;"&amp;J15)+COUNTIFS($J$3:$J$201,J15,$I$3:$I$201,"&gt;"&amp;I15))</f>
        <v>9</v>
      </c>
      <c r="L15" s="28">
        <f>IF(TournamentData[[#This Row],[Team Number]]="","",_xlfn.XLOOKUP(TournamentData[[#This Row],[Team Number]],CoreValuesResults[Team Number],CoreValuesResults[Core Values Rank],NumberOfTeams+1,0,))</f>
        <v>9</v>
      </c>
      <c r="M15" s="28">
        <f>IF(TournamentData[[#This Row],[Team Number]]="","",_xlfn.XLOOKUP(TournamentData[[#This Row],[Team Number]],InnovationProjectResults[Team Number],InnovationProjectResults[Innovation Project Rank],NumberOfTeams+1,0,))</f>
        <v>9</v>
      </c>
      <c r="N15" s="28">
        <f>IF(TournamentData[[#This Row],[Team Number]]="","",_xlfn.XLOOKUP(TournamentData[[#This Row],[Team Number]],RobotDesignResults[Team Number],RobotDesignResults[Engineering Design Rank],NumberOfTeams+1,0,))</f>
        <v>9</v>
      </c>
      <c r="O1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5" s="29">
        <f>IF(TournamentData[[#This Row],[Team Number]]="","",IF(O15,RANK(O15,O$3:O$202,1)-COUNTIF(O$3:O$202,0),NumberOfTeams+1))</f>
        <v>9</v>
      </c>
      <c r="Q15" s="30">
        <f>_xlfn.XLOOKUP(TournamentData[[#This Row],[Team Number]],CoreValuesResults[Team Number],CoreValuesResults[Inspiration Selection],0,0,)</f>
        <v>0</v>
      </c>
      <c r="R15" s="33">
        <f>_xlfn.XLOOKUP(TournamentData[[#This Row],[Team Number]],CoreValuesResults[Team Number],CoreValuesResults[Rising All-Star Selection],0,0,)</f>
        <v>0</v>
      </c>
      <c r="S1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5" s="31"/>
      <c r="U15" s="31"/>
      <c r="V15" s="32"/>
      <c r="W15" s="91">
        <f>_xlfn.XLOOKUP(TournamentData[[#This Row],[Team Number]],CoreValuesResults[Team Number],CoreValuesResults[Core Values Score],0,0,)</f>
        <v>0</v>
      </c>
      <c r="X15" s="91">
        <f>_xlfn.XLOOKUP(TournamentData[[#This Row],[Team Number]],InnovationProjectResults[Team Number],InnovationProjectResults[Innovation Project Score],0,0,)</f>
        <v>0</v>
      </c>
      <c r="Y15" s="91">
        <f>_xlfn.XLOOKUP(TournamentData[[#This Row],[Team Number]],RobotDesignResults[Team Number],RobotDesignResults[Engineering Design Score],0,0,)</f>
        <v>0</v>
      </c>
      <c r="Z1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5" s="93">
        <f t="shared" si="0"/>
        <v>8</v>
      </c>
      <c r="AB15" s="31"/>
    </row>
    <row r="16" spans="1:28" ht="21" customHeight="1" x14ac:dyDescent="0.25">
      <c r="A16">
        <f>_xlfn.XLOOKUP(14,OfficialTeamList[Row],OfficialTeamList[Team Number],"ERROR",0)</f>
        <v>0</v>
      </c>
      <c r="B16" s="27" t="str">
        <f>_xlfn.XLOOKUP(TournamentData[[#This Row],[Team Number]],OfficialTeamList[Team Number],OfficialTeamList[Team Name],"",0,)</f>
        <v/>
      </c>
      <c r="C16" s="28">
        <f>IF(TournamentData[[#This Row],[Team Number]]="","",_xlfn.XLOOKUP(TournamentData[[#This Row],[Team Number]],RobotGameScores[Team Number],RobotGameScores[Match 1 Score],0,0,))</f>
        <v>0</v>
      </c>
      <c r="D16" s="28">
        <f>IF(TournamentData[[#This Row],[Team Number]]="","",_xlfn.XLOOKUP(TournamentData[[#This Row],[Team Number]],RobotGameScores[Team Number],RobotGameScores[Match 2 Score],0,0,))</f>
        <v>0</v>
      </c>
      <c r="E16" s="28">
        <f>IF(TournamentData[[#This Row],[Team Number]]="","",_xlfn.XLOOKUP(TournamentData[[#This Row],[Team Number]],RobotGameScores[Team Number],RobotGameScores[Match 3 Score],0,0,))</f>
        <v>0</v>
      </c>
      <c r="F16" s="28">
        <f>IF(TournamentData[[#This Row],[Team Number]]="","",_xlfn.XLOOKUP(TournamentData[[#This Row],[Team Number]],RobotGameScores[Team Number],RobotGameScores[Match 4 Score],0,0,))</f>
        <v>0</v>
      </c>
      <c r="G16" s="28">
        <f>IF(TournamentData[[#This Row],[Team Number]]="","",_xlfn.XLOOKUP(TournamentData[[#This Row],[Team Number]],RobotGameScores[Team Number],RobotGameScores[Match 5 Score],0,0,))</f>
        <v>0</v>
      </c>
      <c r="H16" s="28" t="str">
        <f>IF(TournamentData[[#This Row],[Team Name]]="","",_xlfn.XLOOKUP(TournamentData[[#This Row],[Team Name]],RobotGameScores[Team Name],RobotGameScores[Match 6 Score],0,0,))</f>
        <v/>
      </c>
      <c r="I16" s="28">
        <v>0</v>
      </c>
      <c r="J16" s="28">
        <f>SUM(TournamentData[[#This Row],[Match Score 1]:[Match Score 6]])/NumberOfRounds</f>
        <v>0</v>
      </c>
      <c r="K16" s="60">
        <f>IF(TournamentData[[#This Row],[Team Number]]="","",1+COUNTIFS($J$3:$J$201,"&gt;"&amp;J16)+COUNTIFS($J$3:$J$201,J16,$I$3:$I$201,"&gt;"&amp;I16))</f>
        <v>9</v>
      </c>
      <c r="L16" s="28">
        <f>IF(TournamentData[[#This Row],[Team Number]]="","",_xlfn.XLOOKUP(TournamentData[[#This Row],[Team Number]],CoreValuesResults[Team Number],CoreValuesResults[Core Values Rank],NumberOfTeams+1,0,))</f>
        <v>9</v>
      </c>
      <c r="M16" s="28">
        <f>IF(TournamentData[[#This Row],[Team Number]]="","",_xlfn.XLOOKUP(TournamentData[[#This Row],[Team Number]],InnovationProjectResults[Team Number],InnovationProjectResults[Innovation Project Rank],NumberOfTeams+1,0,))</f>
        <v>9</v>
      </c>
      <c r="N16" s="28">
        <f>IF(TournamentData[[#This Row],[Team Number]]="","",_xlfn.XLOOKUP(TournamentData[[#This Row],[Team Number]],RobotDesignResults[Team Number],RobotDesignResults[Engineering Design Rank],NumberOfTeams+1,0,))</f>
        <v>9</v>
      </c>
      <c r="O1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6" s="29">
        <f>IF(TournamentData[[#This Row],[Team Number]]="","",IF(O16,RANK(O16,O$3:O$202,1)-COUNTIF(O$3:O$202,0),NumberOfTeams+1))</f>
        <v>9</v>
      </c>
      <c r="Q16" s="30">
        <f>_xlfn.XLOOKUP(TournamentData[[#This Row],[Team Number]],CoreValuesResults[Team Number],CoreValuesResults[Inspiration Selection],0,0,)</f>
        <v>0</v>
      </c>
      <c r="R16" s="33">
        <f>_xlfn.XLOOKUP(TournamentData[[#This Row],[Team Number]],CoreValuesResults[Team Number],CoreValuesResults[Rising All-Star Selection],0,0,)</f>
        <v>0</v>
      </c>
      <c r="S1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6" s="31"/>
      <c r="U16" s="31"/>
      <c r="V16" s="32"/>
      <c r="W16" s="91">
        <f>_xlfn.XLOOKUP(TournamentData[[#This Row],[Team Number]],CoreValuesResults[Team Number],CoreValuesResults[Core Values Score],0,0,)</f>
        <v>0</v>
      </c>
      <c r="X16" s="91">
        <f>_xlfn.XLOOKUP(TournamentData[[#This Row],[Team Number]],InnovationProjectResults[Team Number],InnovationProjectResults[Innovation Project Score],0,0,)</f>
        <v>0</v>
      </c>
      <c r="Y16" s="91">
        <f>_xlfn.XLOOKUP(TournamentData[[#This Row],[Team Number]],RobotDesignResults[Team Number],RobotDesignResults[Engineering Design Score],0,0,)</f>
        <v>0</v>
      </c>
      <c r="Z1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6" s="93">
        <f t="shared" si="0"/>
        <v>8</v>
      </c>
      <c r="AB16" s="31"/>
    </row>
    <row r="17" spans="1:28" ht="21" customHeight="1" x14ac:dyDescent="0.25">
      <c r="A17">
        <f>_xlfn.XLOOKUP(15,OfficialTeamList[Row],OfficialTeamList[Team Number],"ERROR",0)</f>
        <v>0</v>
      </c>
      <c r="B17" s="27" t="str">
        <f>_xlfn.XLOOKUP(TournamentData[[#This Row],[Team Number]],OfficialTeamList[Team Number],OfficialTeamList[Team Name],"",0,)</f>
        <v/>
      </c>
      <c r="C17" s="28">
        <f>IF(TournamentData[[#This Row],[Team Number]]="","",_xlfn.XLOOKUP(TournamentData[[#This Row],[Team Number]],RobotGameScores[Team Number],RobotGameScores[Match 1 Score],0,0,))</f>
        <v>0</v>
      </c>
      <c r="D17" s="28">
        <f>IF(TournamentData[[#This Row],[Team Number]]="","",_xlfn.XLOOKUP(TournamentData[[#This Row],[Team Number]],RobotGameScores[Team Number],RobotGameScores[Match 2 Score],0,0,))</f>
        <v>0</v>
      </c>
      <c r="E17" s="28">
        <f>IF(TournamentData[[#This Row],[Team Number]]="","",_xlfn.XLOOKUP(TournamentData[[#This Row],[Team Number]],RobotGameScores[Team Number],RobotGameScores[Match 3 Score],0,0,))</f>
        <v>0</v>
      </c>
      <c r="F17" s="28">
        <f>IF(TournamentData[[#This Row],[Team Number]]="","",_xlfn.XLOOKUP(TournamentData[[#This Row],[Team Number]],RobotGameScores[Team Number],RobotGameScores[Match 4 Score],0,0,))</f>
        <v>0</v>
      </c>
      <c r="G17" s="28">
        <f>IF(TournamentData[[#This Row],[Team Number]]="","",_xlfn.XLOOKUP(TournamentData[[#This Row],[Team Number]],RobotGameScores[Team Number],RobotGameScores[Match 5 Score],0,0,))</f>
        <v>0</v>
      </c>
      <c r="H17" s="28" t="str">
        <f>IF(TournamentData[[#This Row],[Team Name]]="","",_xlfn.XLOOKUP(TournamentData[[#This Row],[Team Name]],RobotGameScores[Team Name],RobotGameScores[Match 6 Score],0,0,))</f>
        <v/>
      </c>
      <c r="I17" s="28">
        <v>0</v>
      </c>
      <c r="J17" s="28">
        <f>SUM(TournamentData[[#This Row],[Match Score 1]:[Match Score 6]])/NumberOfRounds</f>
        <v>0</v>
      </c>
      <c r="K17" s="59">
        <f>IF(TournamentData[[#This Row],[Team Number]]="","",1+COUNTIFS($J$3:$J$201,"&gt;"&amp;J17)+COUNTIFS($J$3:$J$201,J17,$I$3:$I$201,"&gt;"&amp;I17))</f>
        <v>9</v>
      </c>
      <c r="L17" s="28">
        <f>IF(TournamentData[[#This Row],[Team Number]]="","",_xlfn.XLOOKUP(TournamentData[[#This Row],[Team Number]],CoreValuesResults[Team Number],CoreValuesResults[Core Values Rank],NumberOfTeams+1,0,))</f>
        <v>9</v>
      </c>
      <c r="M17" s="28">
        <f>IF(TournamentData[[#This Row],[Team Number]]="","",_xlfn.XLOOKUP(TournamentData[[#This Row],[Team Number]],InnovationProjectResults[Team Number],InnovationProjectResults[Innovation Project Rank],NumberOfTeams+1,0,))</f>
        <v>9</v>
      </c>
      <c r="N17" s="28">
        <f>IF(TournamentData[[#This Row],[Team Number]]="","",_xlfn.XLOOKUP(TournamentData[[#This Row],[Team Number]],RobotDesignResults[Team Number],RobotDesignResults[Engineering Design Rank],NumberOfTeams+1,0,))</f>
        <v>9</v>
      </c>
      <c r="O1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7" s="29">
        <f>IF(TournamentData[[#This Row],[Team Number]]="","",IF(O17,RANK(O17,O$3:O$202,1)-COUNTIF(O$3:O$202,0),NumberOfTeams+1))</f>
        <v>9</v>
      </c>
      <c r="Q17" s="30">
        <f>_xlfn.XLOOKUP(TournamentData[[#This Row],[Team Number]],CoreValuesResults[Team Number],CoreValuesResults[Inspiration Selection],0,0,)</f>
        <v>0</v>
      </c>
      <c r="R17" s="30">
        <f>_xlfn.XLOOKUP(TournamentData[[#This Row],[Team Number]],CoreValuesResults[Team Number],CoreValuesResults[Rising All-Star Selection],0,0,)</f>
        <v>0</v>
      </c>
      <c r="S1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7" s="31"/>
      <c r="U17" s="31"/>
      <c r="V17" s="32"/>
      <c r="W17" s="91">
        <f>_xlfn.XLOOKUP(TournamentData[[#This Row],[Team Number]],CoreValuesResults[Team Number],CoreValuesResults[Core Values Score],0,0,)</f>
        <v>0</v>
      </c>
      <c r="X17" s="91">
        <f>_xlfn.XLOOKUP(TournamentData[[#This Row],[Team Number]],InnovationProjectResults[Team Number],InnovationProjectResults[Innovation Project Score],0,0,)</f>
        <v>0</v>
      </c>
      <c r="Y17" s="91">
        <f>_xlfn.XLOOKUP(TournamentData[[#This Row],[Team Number]],RobotDesignResults[Team Number],RobotDesignResults[Engineering Design Score],0,0,)</f>
        <v>0</v>
      </c>
      <c r="Z1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7" s="93">
        <f t="shared" si="0"/>
        <v>8</v>
      </c>
      <c r="AB17" s="31"/>
    </row>
    <row r="18" spans="1:28" ht="21" customHeight="1" x14ac:dyDescent="0.25">
      <c r="A18">
        <f>_xlfn.XLOOKUP(16,OfficialTeamList[Row],OfficialTeamList[Team Number],"ERROR",0)</f>
        <v>0</v>
      </c>
      <c r="B18" s="27" t="str">
        <f>_xlfn.XLOOKUP(TournamentData[[#This Row],[Team Number]],OfficialTeamList[Team Number],OfficialTeamList[Team Name],"",0,)</f>
        <v/>
      </c>
      <c r="C18" s="28">
        <f>IF(TournamentData[[#This Row],[Team Number]]="","",_xlfn.XLOOKUP(TournamentData[[#This Row],[Team Number]],RobotGameScores[Team Number],RobotGameScores[Match 1 Score],0,0,))</f>
        <v>0</v>
      </c>
      <c r="D18" s="28">
        <f>IF(TournamentData[[#This Row],[Team Number]]="","",_xlfn.XLOOKUP(TournamentData[[#This Row],[Team Number]],RobotGameScores[Team Number],RobotGameScores[Match 2 Score],0,0,))</f>
        <v>0</v>
      </c>
      <c r="E18" s="28">
        <f>IF(TournamentData[[#This Row],[Team Number]]="","",_xlfn.XLOOKUP(TournamentData[[#This Row],[Team Number]],RobotGameScores[Team Number],RobotGameScores[Match 3 Score],0,0,))</f>
        <v>0</v>
      </c>
      <c r="F18" s="28">
        <f>IF(TournamentData[[#This Row],[Team Number]]="","",_xlfn.XLOOKUP(TournamentData[[#This Row],[Team Number]],RobotGameScores[Team Number],RobotGameScores[Match 4 Score],0,0,))</f>
        <v>0</v>
      </c>
      <c r="G18" s="28">
        <f>IF(TournamentData[[#This Row],[Team Number]]="","",_xlfn.XLOOKUP(TournamentData[[#This Row],[Team Number]],RobotGameScores[Team Number],RobotGameScores[Match 5 Score],0,0,))</f>
        <v>0</v>
      </c>
      <c r="H18" s="28" t="str">
        <f>IF(TournamentData[[#This Row],[Team Name]]="","",_xlfn.XLOOKUP(TournamentData[[#This Row],[Team Name]],RobotGameScores[Team Name],RobotGameScores[Match 6 Score],0,0,))</f>
        <v/>
      </c>
      <c r="I18" s="28">
        <v>0</v>
      </c>
      <c r="J18" s="28">
        <f>SUM(TournamentData[[#This Row],[Match Score 1]:[Match Score 6]])/NumberOfRounds</f>
        <v>0</v>
      </c>
      <c r="K18" s="60">
        <f>IF(TournamentData[[#This Row],[Team Number]]="","",1+COUNTIFS($J$3:$J$201,"&gt;"&amp;J18)+COUNTIFS($J$3:$J$201,J18,$I$3:$I$201,"&gt;"&amp;I18))</f>
        <v>9</v>
      </c>
      <c r="L18" s="28">
        <f>IF(TournamentData[[#This Row],[Team Number]]="","",_xlfn.XLOOKUP(TournamentData[[#This Row],[Team Number]],CoreValuesResults[Team Number],CoreValuesResults[Core Values Rank],NumberOfTeams+1,0,))</f>
        <v>9</v>
      </c>
      <c r="M18" s="28">
        <f>IF(TournamentData[[#This Row],[Team Number]]="","",_xlfn.XLOOKUP(TournamentData[[#This Row],[Team Number]],InnovationProjectResults[Team Number],InnovationProjectResults[Innovation Project Rank],NumberOfTeams+1,0,))</f>
        <v>9</v>
      </c>
      <c r="N18" s="28">
        <f>IF(TournamentData[[#This Row],[Team Number]]="","",_xlfn.XLOOKUP(TournamentData[[#This Row],[Team Number]],RobotDesignResults[Team Number],RobotDesignResults[Engineering Design Rank],NumberOfTeams+1,0,))</f>
        <v>9</v>
      </c>
      <c r="O1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8" s="29">
        <f>IF(TournamentData[[#This Row],[Team Number]]="","",IF(O18,RANK(O18,O$3:O$202,1)-COUNTIF(O$3:O$202,0),NumberOfTeams+1))</f>
        <v>9</v>
      </c>
      <c r="Q18" s="30">
        <f>_xlfn.XLOOKUP(TournamentData[[#This Row],[Team Number]],CoreValuesResults[Team Number],CoreValuesResults[Inspiration Selection],0,0,)</f>
        <v>0</v>
      </c>
      <c r="R18" s="30">
        <f>_xlfn.XLOOKUP(TournamentData[[#This Row],[Team Number]],CoreValuesResults[Team Number],CoreValuesResults[Rising All-Star Selection],0,0,)</f>
        <v>0</v>
      </c>
      <c r="S1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8" s="31"/>
      <c r="U18" s="31"/>
      <c r="V18" s="32"/>
      <c r="W18" s="91">
        <f>_xlfn.XLOOKUP(TournamentData[[#This Row],[Team Number]],CoreValuesResults[Team Number],CoreValuesResults[Core Values Score],0,0,)</f>
        <v>0</v>
      </c>
      <c r="X18" s="91">
        <f>_xlfn.XLOOKUP(TournamentData[[#This Row],[Team Number]],InnovationProjectResults[Team Number],InnovationProjectResults[Innovation Project Score],0,0,)</f>
        <v>0</v>
      </c>
      <c r="Y18" s="91">
        <f>_xlfn.XLOOKUP(TournamentData[[#This Row],[Team Number]],RobotDesignResults[Team Number],RobotDesignResults[Engineering Design Score],0,0,)</f>
        <v>0</v>
      </c>
      <c r="Z1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8" s="93">
        <f t="shared" si="0"/>
        <v>8</v>
      </c>
      <c r="AB18" s="31"/>
    </row>
    <row r="19" spans="1:28" ht="21" customHeight="1" x14ac:dyDescent="0.25">
      <c r="A19">
        <f>_xlfn.XLOOKUP(17,OfficialTeamList[Row],OfficialTeamList[Team Number],"ERROR",0)</f>
        <v>0</v>
      </c>
      <c r="B19" s="27" t="str">
        <f>_xlfn.XLOOKUP(TournamentData[[#This Row],[Team Number]],OfficialTeamList[Team Number],OfficialTeamList[Team Name],"",0,)</f>
        <v/>
      </c>
      <c r="C19" s="28">
        <f>IF(TournamentData[[#This Row],[Team Number]]="","",_xlfn.XLOOKUP(TournamentData[[#This Row],[Team Number]],RobotGameScores[Team Number],RobotGameScores[Match 1 Score],0,0,))</f>
        <v>0</v>
      </c>
      <c r="D19" s="28">
        <f>IF(TournamentData[[#This Row],[Team Number]]="","",_xlfn.XLOOKUP(TournamentData[[#This Row],[Team Number]],RobotGameScores[Team Number],RobotGameScores[Match 2 Score],0,0,))</f>
        <v>0</v>
      </c>
      <c r="E19" s="28">
        <f>IF(TournamentData[[#This Row],[Team Number]]="","",_xlfn.XLOOKUP(TournamentData[[#This Row],[Team Number]],RobotGameScores[Team Number],RobotGameScores[Match 3 Score],0,0,))</f>
        <v>0</v>
      </c>
      <c r="F19" s="28">
        <f>IF(TournamentData[[#This Row],[Team Number]]="","",_xlfn.XLOOKUP(TournamentData[[#This Row],[Team Number]],RobotGameScores[Team Number],RobotGameScores[Match 4 Score],0,0,))</f>
        <v>0</v>
      </c>
      <c r="G19" s="28">
        <f>IF(TournamentData[[#This Row],[Team Number]]="","",_xlfn.XLOOKUP(TournamentData[[#This Row],[Team Number]],RobotGameScores[Team Number],RobotGameScores[Match 5 Score],0,0,))</f>
        <v>0</v>
      </c>
      <c r="H19" s="28" t="str">
        <f>IF(TournamentData[[#This Row],[Team Name]]="","",_xlfn.XLOOKUP(TournamentData[[#This Row],[Team Name]],RobotGameScores[Team Name],RobotGameScores[Match 6 Score],0,0,))</f>
        <v/>
      </c>
      <c r="I19" s="28">
        <v>0</v>
      </c>
      <c r="J19" s="28">
        <f>SUM(TournamentData[[#This Row],[Match Score 1]:[Match Score 6]])/NumberOfRounds</f>
        <v>0</v>
      </c>
      <c r="K19" s="59">
        <f>IF(TournamentData[[#This Row],[Team Number]]="","",1+COUNTIFS($J$3:$J$201,"&gt;"&amp;J19)+COUNTIFS($J$3:$J$201,J19,$I$3:$I$201,"&gt;"&amp;I19))</f>
        <v>9</v>
      </c>
      <c r="L19" s="28">
        <f>IF(TournamentData[[#This Row],[Team Number]]="","",_xlfn.XLOOKUP(TournamentData[[#This Row],[Team Number]],CoreValuesResults[Team Number],CoreValuesResults[Core Values Rank],NumberOfTeams+1,0,))</f>
        <v>9</v>
      </c>
      <c r="M19" s="28">
        <f>IF(TournamentData[[#This Row],[Team Number]]="","",_xlfn.XLOOKUP(TournamentData[[#This Row],[Team Number]],InnovationProjectResults[Team Number],InnovationProjectResults[Innovation Project Rank],NumberOfTeams+1,0,))</f>
        <v>9</v>
      </c>
      <c r="N19" s="28">
        <f>IF(TournamentData[[#This Row],[Team Number]]="","",_xlfn.XLOOKUP(TournamentData[[#This Row],[Team Number]],RobotDesignResults[Team Number],RobotDesignResults[Engineering Design Rank],NumberOfTeams+1,0,))</f>
        <v>9</v>
      </c>
      <c r="O1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9" s="29">
        <f>IF(TournamentData[[#This Row],[Team Number]]="","",IF(O19,RANK(O19,O$3:O$202,1)-COUNTIF(O$3:O$202,0),NumberOfTeams+1))</f>
        <v>9</v>
      </c>
      <c r="Q19" s="30">
        <f>_xlfn.XLOOKUP(TournamentData[[#This Row],[Team Number]],CoreValuesResults[Team Number],CoreValuesResults[Inspiration Selection],0,0,)</f>
        <v>0</v>
      </c>
      <c r="R19" s="30">
        <f>_xlfn.XLOOKUP(TournamentData[[#This Row],[Team Number]],CoreValuesResults[Team Number],CoreValuesResults[Rising All-Star Selection],0,0,)</f>
        <v>0</v>
      </c>
      <c r="S1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9" s="31"/>
      <c r="U19" s="31"/>
      <c r="V19" s="32"/>
      <c r="W19" s="91">
        <f>_xlfn.XLOOKUP(TournamentData[[#This Row],[Team Number]],CoreValuesResults[Team Number],CoreValuesResults[Core Values Score],0,0,)</f>
        <v>0</v>
      </c>
      <c r="X19" s="91">
        <f>_xlfn.XLOOKUP(TournamentData[[#This Row],[Team Number]],InnovationProjectResults[Team Number],InnovationProjectResults[Innovation Project Score],0,0,)</f>
        <v>0</v>
      </c>
      <c r="Y19" s="91">
        <f>_xlfn.XLOOKUP(TournamentData[[#This Row],[Team Number]],RobotDesignResults[Team Number],RobotDesignResults[Engineering Design Score],0,0,)</f>
        <v>0</v>
      </c>
      <c r="Z1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9" s="93">
        <f t="shared" si="0"/>
        <v>8</v>
      </c>
      <c r="AB19" s="31"/>
    </row>
    <row r="20" spans="1:28" ht="21" customHeight="1" x14ac:dyDescent="0.25">
      <c r="A20">
        <f>_xlfn.XLOOKUP(18,OfficialTeamList[Row],OfficialTeamList[Team Number],"ERROR",0)</f>
        <v>0</v>
      </c>
      <c r="B20" s="27" t="str">
        <f>_xlfn.XLOOKUP(TournamentData[[#This Row],[Team Number]],OfficialTeamList[Team Number],OfficialTeamList[Team Name],"",0,)</f>
        <v/>
      </c>
      <c r="C20" s="28">
        <f>IF(TournamentData[[#This Row],[Team Number]]="","",_xlfn.XLOOKUP(TournamentData[[#This Row],[Team Number]],RobotGameScores[Team Number],RobotGameScores[Match 1 Score],0,0,))</f>
        <v>0</v>
      </c>
      <c r="D20" s="28">
        <f>IF(TournamentData[[#This Row],[Team Number]]="","",_xlfn.XLOOKUP(TournamentData[[#This Row],[Team Number]],RobotGameScores[Team Number],RobotGameScores[Match 2 Score],0,0,))</f>
        <v>0</v>
      </c>
      <c r="E20" s="28">
        <f>IF(TournamentData[[#This Row],[Team Number]]="","",_xlfn.XLOOKUP(TournamentData[[#This Row],[Team Number]],RobotGameScores[Team Number],RobotGameScores[Match 3 Score],0,0,))</f>
        <v>0</v>
      </c>
      <c r="F20" s="28">
        <f>IF(TournamentData[[#This Row],[Team Number]]="","",_xlfn.XLOOKUP(TournamentData[[#This Row],[Team Number]],RobotGameScores[Team Number],RobotGameScores[Match 4 Score],0,0,))</f>
        <v>0</v>
      </c>
      <c r="G20" s="28">
        <f>IF(TournamentData[[#This Row],[Team Number]]="","",_xlfn.XLOOKUP(TournamentData[[#This Row],[Team Number]],RobotGameScores[Team Number],RobotGameScores[Match 5 Score],0,0,))</f>
        <v>0</v>
      </c>
      <c r="H20" s="28" t="str">
        <f>IF(TournamentData[[#This Row],[Team Name]]="","",_xlfn.XLOOKUP(TournamentData[[#This Row],[Team Name]],RobotGameScores[Team Name],RobotGameScores[Match 6 Score],0,0,))</f>
        <v/>
      </c>
      <c r="I20" s="28">
        <v>0</v>
      </c>
      <c r="J20" s="28">
        <f>SUM(TournamentData[[#This Row],[Match Score 1]:[Match Score 6]])/NumberOfRounds</f>
        <v>0</v>
      </c>
      <c r="K20" s="60">
        <f>IF(TournamentData[[#This Row],[Team Number]]="","",1+COUNTIFS($J$3:$J$201,"&gt;"&amp;J20)+COUNTIFS($J$3:$J$201,J20,$I$3:$I$201,"&gt;"&amp;I20))</f>
        <v>9</v>
      </c>
      <c r="L20" s="28">
        <f>IF(TournamentData[[#This Row],[Team Number]]="","",_xlfn.XLOOKUP(TournamentData[[#This Row],[Team Number]],CoreValuesResults[Team Number],CoreValuesResults[Core Values Rank],NumberOfTeams+1,0,))</f>
        <v>9</v>
      </c>
      <c r="M20" s="28">
        <f>IF(TournamentData[[#This Row],[Team Number]]="","",_xlfn.XLOOKUP(TournamentData[[#This Row],[Team Number]],InnovationProjectResults[Team Number],InnovationProjectResults[Innovation Project Rank],NumberOfTeams+1,0,))</f>
        <v>9</v>
      </c>
      <c r="N20" s="28">
        <f>IF(TournamentData[[#This Row],[Team Number]]="","",_xlfn.XLOOKUP(TournamentData[[#This Row],[Team Number]],RobotDesignResults[Team Number],RobotDesignResults[Engineering Design Rank],NumberOfTeams+1,0,))</f>
        <v>9</v>
      </c>
      <c r="O2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0" s="29">
        <f>IF(TournamentData[[#This Row],[Team Number]]="","",IF(O20,RANK(O20,O$3:O$202,1)-COUNTIF(O$3:O$202,0),NumberOfTeams+1))</f>
        <v>9</v>
      </c>
      <c r="Q20" s="30">
        <f>_xlfn.XLOOKUP(TournamentData[[#This Row],[Team Number]],CoreValuesResults[Team Number],CoreValuesResults[Inspiration Selection],0,0,)</f>
        <v>0</v>
      </c>
      <c r="R20" s="30">
        <f>_xlfn.XLOOKUP(TournamentData[[#This Row],[Team Number]],CoreValuesResults[Team Number],CoreValuesResults[Rising All-Star Selection],0,0,)</f>
        <v>0</v>
      </c>
      <c r="S2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0" s="31"/>
      <c r="U20" s="31"/>
      <c r="V20" s="32"/>
      <c r="W20" s="91">
        <f>_xlfn.XLOOKUP(TournamentData[[#This Row],[Team Number]],CoreValuesResults[Team Number],CoreValuesResults[Core Values Score],0,0,)</f>
        <v>0</v>
      </c>
      <c r="X20" s="91">
        <f>_xlfn.XLOOKUP(TournamentData[[#This Row],[Team Number]],InnovationProjectResults[Team Number],InnovationProjectResults[Innovation Project Score],0,0,)</f>
        <v>0</v>
      </c>
      <c r="Y20" s="91">
        <f>_xlfn.XLOOKUP(TournamentData[[#This Row],[Team Number]],RobotDesignResults[Team Number],RobotDesignResults[Engineering Design Score],0,0,)</f>
        <v>0</v>
      </c>
      <c r="Z2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0" s="93">
        <f t="shared" si="0"/>
        <v>8</v>
      </c>
      <c r="AB20" s="31"/>
    </row>
    <row r="21" spans="1:28" ht="21" customHeight="1" x14ac:dyDescent="0.25">
      <c r="A21">
        <f>_xlfn.XLOOKUP(19,OfficialTeamList[Row],OfficialTeamList[Team Number],"ERROR",0)</f>
        <v>0</v>
      </c>
      <c r="B21" s="27" t="str">
        <f>_xlfn.XLOOKUP(TournamentData[[#This Row],[Team Number]],OfficialTeamList[Team Number],OfficialTeamList[Team Name],"",0,)</f>
        <v/>
      </c>
      <c r="C21" s="28">
        <f>IF(TournamentData[[#This Row],[Team Number]]="","",_xlfn.XLOOKUP(TournamentData[[#This Row],[Team Number]],RobotGameScores[Team Number],RobotGameScores[Match 1 Score],0,0,))</f>
        <v>0</v>
      </c>
      <c r="D21" s="28">
        <f>IF(TournamentData[[#This Row],[Team Number]]="","",_xlfn.XLOOKUP(TournamentData[[#This Row],[Team Number]],RobotGameScores[Team Number],RobotGameScores[Match 2 Score],0,0,))</f>
        <v>0</v>
      </c>
      <c r="E21" s="28">
        <f>IF(TournamentData[[#This Row],[Team Number]]="","",_xlfn.XLOOKUP(TournamentData[[#This Row],[Team Number]],RobotGameScores[Team Number],RobotGameScores[Match 3 Score],0,0,))</f>
        <v>0</v>
      </c>
      <c r="F21" s="28">
        <f>IF(TournamentData[[#This Row],[Team Number]]="","",_xlfn.XLOOKUP(TournamentData[[#This Row],[Team Number]],RobotGameScores[Team Number],RobotGameScores[Match 4 Score],0,0,))</f>
        <v>0</v>
      </c>
      <c r="G21" s="28">
        <f>IF(TournamentData[[#This Row],[Team Number]]="","",_xlfn.XLOOKUP(TournamentData[[#This Row],[Team Number]],RobotGameScores[Team Number],RobotGameScores[Match 5 Score],0,0,))</f>
        <v>0</v>
      </c>
      <c r="H21" s="28" t="str">
        <f>IF(TournamentData[[#This Row],[Team Name]]="","",_xlfn.XLOOKUP(TournamentData[[#This Row],[Team Name]],RobotGameScores[Team Name],RobotGameScores[Match 6 Score],0,0,))</f>
        <v/>
      </c>
      <c r="I21" s="28">
        <v>0</v>
      </c>
      <c r="J21" s="28">
        <f>SUM(TournamentData[[#This Row],[Match Score 1]:[Match Score 6]])/NumberOfRounds</f>
        <v>0</v>
      </c>
      <c r="K21" s="59">
        <f>IF(TournamentData[[#This Row],[Team Number]]="","",1+COUNTIFS($J$3:$J$201,"&gt;"&amp;J21)+COUNTIFS($J$3:$J$201,J21,$I$3:$I$201,"&gt;"&amp;I21))</f>
        <v>9</v>
      </c>
      <c r="L21" s="28">
        <f>IF(TournamentData[[#This Row],[Team Number]]="","",_xlfn.XLOOKUP(TournamentData[[#This Row],[Team Number]],CoreValuesResults[Team Number],CoreValuesResults[Core Values Rank],NumberOfTeams+1,0,))</f>
        <v>9</v>
      </c>
      <c r="M21" s="28">
        <f>IF(TournamentData[[#This Row],[Team Number]]="","",_xlfn.XLOOKUP(TournamentData[[#This Row],[Team Number]],InnovationProjectResults[Team Number],InnovationProjectResults[Innovation Project Rank],NumberOfTeams+1,0,))</f>
        <v>9</v>
      </c>
      <c r="N21" s="28">
        <f>IF(TournamentData[[#This Row],[Team Number]]="","",_xlfn.XLOOKUP(TournamentData[[#This Row],[Team Number]],RobotDesignResults[Team Number],RobotDesignResults[Engineering Design Rank],NumberOfTeams+1,0,))</f>
        <v>9</v>
      </c>
      <c r="O2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1" s="29">
        <f>IF(TournamentData[[#This Row],[Team Number]]="","",IF(O21,RANK(O21,O$3:O$202,1)-COUNTIF(O$3:O$202,0),NumberOfTeams+1))</f>
        <v>9</v>
      </c>
      <c r="Q21" s="30">
        <f>_xlfn.XLOOKUP(TournamentData[[#This Row],[Team Number]],CoreValuesResults[Team Number],CoreValuesResults[Inspiration Selection],0,0,)</f>
        <v>0</v>
      </c>
      <c r="R21" s="30">
        <f>_xlfn.XLOOKUP(TournamentData[[#This Row],[Team Number]],CoreValuesResults[Team Number],CoreValuesResults[Rising All-Star Selection],0,0,)</f>
        <v>0</v>
      </c>
      <c r="S2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1" s="31"/>
      <c r="U21" s="31"/>
      <c r="V21" s="32"/>
      <c r="W21" s="91">
        <f>_xlfn.XLOOKUP(TournamentData[[#This Row],[Team Number]],CoreValuesResults[Team Number],CoreValuesResults[Core Values Score],0,0,)</f>
        <v>0</v>
      </c>
      <c r="X21" s="91">
        <f>_xlfn.XLOOKUP(TournamentData[[#This Row],[Team Number]],InnovationProjectResults[Team Number],InnovationProjectResults[Innovation Project Score],0,0,)</f>
        <v>0</v>
      </c>
      <c r="Y21" s="91">
        <f>_xlfn.XLOOKUP(TournamentData[[#This Row],[Team Number]],RobotDesignResults[Team Number],RobotDesignResults[Engineering Design Score],0,0,)</f>
        <v>0</v>
      </c>
      <c r="Z2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1" s="93">
        <f t="shared" si="0"/>
        <v>8</v>
      </c>
      <c r="AB21" s="31"/>
    </row>
    <row r="22" spans="1:28" ht="21" customHeight="1" x14ac:dyDescent="0.25">
      <c r="A22">
        <f>_xlfn.XLOOKUP(20,OfficialTeamList[Row],OfficialTeamList[Team Number],"ERROR",0)</f>
        <v>0</v>
      </c>
      <c r="B22" s="27" t="str">
        <f>_xlfn.XLOOKUP(TournamentData[[#This Row],[Team Number]],OfficialTeamList[Team Number],OfficialTeamList[Team Name],"",0,)</f>
        <v/>
      </c>
      <c r="C22" s="28">
        <f>IF(TournamentData[[#This Row],[Team Number]]="","",_xlfn.XLOOKUP(TournamentData[[#This Row],[Team Number]],RobotGameScores[Team Number],RobotGameScores[Match 1 Score],0,0,))</f>
        <v>0</v>
      </c>
      <c r="D22" s="28">
        <f>IF(TournamentData[[#This Row],[Team Number]]="","",_xlfn.XLOOKUP(TournamentData[[#This Row],[Team Number]],RobotGameScores[Team Number],RobotGameScores[Match 2 Score],0,0,))</f>
        <v>0</v>
      </c>
      <c r="E22" s="28">
        <f>IF(TournamentData[[#This Row],[Team Number]]="","",_xlfn.XLOOKUP(TournamentData[[#This Row],[Team Number]],RobotGameScores[Team Number],RobotGameScores[Match 3 Score],0,0,))</f>
        <v>0</v>
      </c>
      <c r="F22" s="28">
        <f>IF(TournamentData[[#This Row],[Team Number]]="","",_xlfn.XLOOKUP(TournamentData[[#This Row],[Team Number]],RobotGameScores[Team Number],RobotGameScores[Match 4 Score],0,0,))</f>
        <v>0</v>
      </c>
      <c r="G22" s="28">
        <f>IF(TournamentData[[#This Row],[Team Number]]="","",_xlfn.XLOOKUP(TournamentData[[#This Row],[Team Number]],RobotGameScores[Team Number],RobotGameScores[Match 5 Score],0,0,))</f>
        <v>0</v>
      </c>
      <c r="H22" s="28" t="str">
        <f>IF(TournamentData[[#This Row],[Team Name]]="","",_xlfn.XLOOKUP(TournamentData[[#This Row],[Team Name]],RobotGameScores[Team Name],RobotGameScores[Match 6 Score],0,0,))</f>
        <v/>
      </c>
      <c r="I22" s="28">
        <v>0</v>
      </c>
      <c r="J22" s="28">
        <f>SUM(TournamentData[[#This Row],[Match Score 1]:[Match Score 6]])/NumberOfRounds</f>
        <v>0</v>
      </c>
      <c r="K22" s="60">
        <f>IF(TournamentData[[#This Row],[Team Number]]="","",1+COUNTIFS($J$3:$J$201,"&gt;"&amp;J22)+COUNTIFS($J$3:$J$201,J22,$I$3:$I$201,"&gt;"&amp;I22))</f>
        <v>9</v>
      </c>
      <c r="L22" s="28">
        <f>IF(TournamentData[[#This Row],[Team Number]]="","",_xlfn.XLOOKUP(TournamentData[[#This Row],[Team Number]],CoreValuesResults[Team Number],CoreValuesResults[Core Values Rank],NumberOfTeams+1,0,))</f>
        <v>9</v>
      </c>
      <c r="M22" s="28">
        <f>IF(TournamentData[[#This Row],[Team Number]]="","",_xlfn.XLOOKUP(TournamentData[[#This Row],[Team Number]],InnovationProjectResults[Team Number],InnovationProjectResults[Innovation Project Rank],NumberOfTeams+1,0,))</f>
        <v>9</v>
      </c>
      <c r="N22" s="28">
        <f>IF(TournamentData[[#This Row],[Team Number]]="","",_xlfn.XLOOKUP(TournamentData[[#This Row],[Team Number]],RobotDesignResults[Team Number],RobotDesignResults[Engineering Design Rank],NumberOfTeams+1,0,))</f>
        <v>9</v>
      </c>
      <c r="O2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2" s="29">
        <f>IF(TournamentData[[#This Row],[Team Number]]="","",IF(O22,RANK(O22,O$3:O$202,1)-COUNTIF(O$3:O$202,0),NumberOfTeams+1))</f>
        <v>9</v>
      </c>
      <c r="Q22" s="30">
        <f>_xlfn.XLOOKUP(TournamentData[[#This Row],[Team Number]],CoreValuesResults[Team Number],CoreValuesResults[Inspiration Selection],0,0,)</f>
        <v>0</v>
      </c>
      <c r="R22" s="30">
        <f>_xlfn.XLOOKUP(TournamentData[[#This Row],[Team Number]],CoreValuesResults[Team Number],CoreValuesResults[Rising All-Star Selection],0,0,)</f>
        <v>0</v>
      </c>
      <c r="S2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2" s="31"/>
      <c r="U22" s="31"/>
      <c r="V22" s="32"/>
      <c r="W22" s="91">
        <f>_xlfn.XLOOKUP(TournamentData[[#This Row],[Team Number]],CoreValuesResults[Team Number],CoreValuesResults[Core Values Score],0,0,)</f>
        <v>0</v>
      </c>
      <c r="X22" s="91">
        <f>_xlfn.XLOOKUP(TournamentData[[#This Row],[Team Number]],InnovationProjectResults[Team Number],InnovationProjectResults[Innovation Project Score],0,0,)</f>
        <v>0</v>
      </c>
      <c r="Y22" s="91">
        <f>_xlfn.XLOOKUP(TournamentData[[#This Row],[Team Number]],RobotDesignResults[Team Number],RobotDesignResults[Engineering Design Score],0,0,)</f>
        <v>0</v>
      </c>
      <c r="Z2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2" s="93">
        <f t="shared" si="0"/>
        <v>8</v>
      </c>
      <c r="AB22" s="31"/>
    </row>
    <row r="23" spans="1:28" ht="21" customHeight="1" x14ac:dyDescent="0.25">
      <c r="A23">
        <f>_xlfn.XLOOKUP(21,OfficialTeamList[Row],OfficialTeamList[Team Number],"ERROR",0)</f>
        <v>0</v>
      </c>
      <c r="B23" s="27" t="str">
        <f>_xlfn.XLOOKUP(TournamentData[[#This Row],[Team Number]],OfficialTeamList[Team Number],OfficialTeamList[Team Name],"",0,)</f>
        <v/>
      </c>
      <c r="C23" s="28">
        <f>IF(TournamentData[[#This Row],[Team Number]]="","",_xlfn.XLOOKUP(TournamentData[[#This Row],[Team Number]],RobotGameScores[Team Number],RobotGameScores[Match 1 Score],0,0,))</f>
        <v>0</v>
      </c>
      <c r="D23" s="28">
        <f>IF(TournamentData[[#This Row],[Team Number]]="","",_xlfn.XLOOKUP(TournamentData[[#This Row],[Team Number]],RobotGameScores[Team Number],RobotGameScores[Match 2 Score],0,0,))</f>
        <v>0</v>
      </c>
      <c r="E23" s="28">
        <f>IF(TournamentData[[#This Row],[Team Number]]="","",_xlfn.XLOOKUP(TournamentData[[#This Row],[Team Number]],RobotGameScores[Team Number],RobotGameScores[Match 3 Score],0,0,))</f>
        <v>0</v>
      </c>
      <c r="F23" s="28">
        <f>IF(TournamentData[[#This Row],[Team Number]]="","",_xlfn.XLOOKUP(TournamentData[[#This Row],[Team Number]],RobotGameScores[Team Number],RobotGameScores[Match 4 Score],0,0,))</f>
        <v>0</v>
      </c>
      <c r="G23" s="28">
        <f>IF(TournamentData[[#This Row],[Team Number]]="","",_xlfn.XLOOKUP(TournamentData[[#This Row],[Team Number]],RobotGameScores[Team Number],RobotGameScores[Match 5 Score],0,0,))</f>
        <v>0</v>
      </c>
      <c r="H23" s="28" t="str">
        <f>IF(TournamentData[[#This Row],[Team Name]]="","",_xlfn.XLOOKUP(TournamentData[[#This Row],[Team Name]],RobotGameScores[Team Name],RobotGameScores[Match 6 Score],0,0,))</f>
        <v/>
      </c>
      <c r="I23" s="28">
        <v>0</v>
      </c>
      <c r="J23" s="28">
        <f>SUM(TournamentData[[#This Row],[Match Score 1]:[Match Score 6]])/NumberOfRounds</f>
        <v>0</v>
      </c>
      <c r="K23" s="59">
        <f>IF(TournamentData[[#This Row],[Team Number]]="","",1+COUNTIFS($J$3:$J$201,"&gt;"&amp;J23)+COUNTIFS($J$3:$J$201,J23,$I$3:$I$201,"&gt;"&amp;I23))</f>
        <v>9</v>
      </c>
      <c r="L23" s="28">
        <f>IF(TournamentData[[#This Row],[Team Number]]="","",_xlfn.XLOOKUP(TournamentData[[#This Row],[Team Number]],CoreValuesResults[Team Number],CoreValuesResults[Core Values Rank],NumberOfTeams+1,0,))</f>
        <v>9</v>
      </c>
      <c r="M23" s="28">
        <f>IF(TournamentData[[#This Row],[Team Number]]="","",_xlfn.XLOOKUP(TournamentData[[#This Row],[Team Number]],InnovationProjectResults[Team Number],InnovationProjectResults[Innovation Project Rank],NumberOfTeams+1,0,))</f>
        <v>9</v>
      </c>
      <c r="N23" s="28">
        <f>IF(TournamentData[[#This Row],[Team Number]]="","",_xlfn.XLOOKUP(TournamentData[[#This Row],[Team Number]],RobotDesignResults[Team Number],RobotDesignResults[Engineering Design Rank],NumberOfTeams+1,0,))</f>
        <v>9</v>
      </c>
      <c r="O2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3" s="29">
        <f>IF(TournamentData[[#This Row],[Team Number]]="","",IF(O23,RANK(O23,O$3:O$202,1)-COUNTIF(O$3:O$202,0),NumberOfTeams+1))</f>
        <v>9</v>
      </c>
      <c r="Q23" s="30">
        <f>_xlfn.XLOOKUP(TournamentData[[#This Row],[Team Number]],CoreValuesResults[Team Number],CoreValuesResults[Inspiration Selection],0,0,)</f>
        <v>0</v>
      </c>
      <c r="R23" s="30">
        <f>_xlfn.XLOOKUP(TournamentData[[#This Row],[Team Number]],CoreValuesResults[Team Number],CoreValuesResults[Rising All-Star Selection],0,0,)</f>
        <v>0</v>
      </c>
      <c r="S2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3" s="31"/>
      <c r="U23" s="31"/>
      <c r="V23" s="32"/>
      <c r="W23" s="91">
        <f>_xlfn.XLOOKUP(TournamentData[[#This Row],[Team Number]],CoreValuesResults[Team Number],CoreValuesResults[Core Values Score],0,0,)</f>
        <v>0</v>
      </c>
      <c r="X23" s="91">
        <f>_xlfn.XLOOKUP(TournamentData[[#This Row],[Team Number]],InnovationProjectResults[Team Number],InnovationProjectResults[Innovation Project Score],0,0,)</f>
        <v>0</v>
      </c>
      <c r="Y23" s="91">
        <f>_xlfn.XLOOKUP(TournamentData[[#This Row],[Team Number]],RobotDesignResults[Team Number],RobotDesignResults[Engineering Design Score],0,0,)</f>
        <v>0</v>
      </c>
      <c r="Z2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3" s="93">
        <f t="shared" si="0"/>
        <v>8</v>
      </c>
      <c r="AB23" s="31"/>
    </row>
    <row r="24" spans="1:28" ht="21" customHeight="1" x14ac:dyDescent="0.25">
      <c r="A24">
        <f>_xlfn.XLOOKUP(22,OfficialTeamList[Row],OfficialTeamList[Team Number],"ERROR",0)</f>
        <v>0</v>
      </c>
      <c r="B24" s="27" t="str">
        <f>_xlfn.XLOOKUP(TournamentData[[#This Row],[Team Number]],OfficialTeamList[Team Number],OfficialTeamList[Team Name],"",0,)</f>
        <v/>
      </c>
      <c r="C24" s="28">
        <f>IF(TournamentData[[#This Row],[Team Number]]="","",_xlfn.XLOOKUP(TournamentData[[#This Row],[Team Number]],RobotGameScores[Team Number],RobotGameScores[Match 1 Score],0,0,))</f>
        <v>0</v>
      </c>
      <c r="D24" s="28">
        <f>IF(TournamentData[[#This Row],[Team Number]]="","",_xlfn.XLOOKUP(TournamentData[[#This Row],[Team Number]],RobotGameScores[Team Number],RobotGameScores[Match 2 Score],0,0,))</f>
        <v>0</v>
      </c>
      <c r="E24" s="28">
        <f>IF(TournamentData[[#This Row],[Team Number]]="","",_xlfn.XLOOKUP(TournamentData[[#This Row],[Team Number]],RobotGameScores[Team Number],RobotGameScores[Match 3 Score],0,0,))</f>
        <v>0</v>
      </c>
      <c r="F24" s="28">
        <f>IF(TournamentData[[#This Row],[Team Number]]="","",_xlfn.XLOOKUP(TournamentData[[#This Row],[Team Number]],RobotGameScores[Team Number],RobotGameScores[Match 4 Score],0,0,))</f>
        <v>0</v>
      </c>
      <c r="G24" s="28">
        <f>IF(TournamentData[[#This Row],[Team Number]]="","",_xlfn.XLOOKUP(TournamentData[[#This Row],[Team Number]],RobotGameScores[Team Number],RobotGameScores[Match 5 Score],0,0,))</f>
        <v>0</v>
      </c>
      <c r="H24" s="28" t="str">
        <f>IF(TournamentData[[#This Row],[Team Name]]="","",_xlfn.XLOOKUP(TournamentData[[#This Row],[Team Name]],RobotGameScores[Team Name],RobotGameScores[Match 6 Score],0,0,))</f>
        <v/>
      </c>
      <c r="I24" s="28">
        <v>0</v>
      </c>
      <c r="J24" s="28">
        <f>SUM(TournamentData[[#This Row],[Match Score 1]:[Match Score 6]])/NumberOfRounds</f>
        <v>0</v>
      </c>
      <c r="K24" s="60">
        <f>IF(TournamentData[[#This Row],[Team Number]]="","",1+COUNTIFS($J$3:$J$201,"&gt;"&amp;J24)+COUNTIFS($J$3:$J$201,J24,$I$3:$I$201,"&gt;"&amp;I24))</f>
        <v>9</v>
      </c>
      <c r="L24" s="28">
        <f>IF(TournamentData[[#This Row],[Team Number]]="","",_xlfn.XLOOKUP(TournamentData[[#This Row],[Team Number]],CoreValuesResults[Team Number],CoreValuesResults[Core Values Rank],NumberOfTeams+1,0,))</f>
        <v>9</v>
      </c>
      <c r="M24" s="28">
        <f>IF(TournamentData[[#This Row],[Team Number]]="","",_xlfn.XLOOKUP(TournamentData[[#This Row],[Team Number]],InnovationProjectResults[Team Number],InnovationProjectResults[Innovation Project Rank],NumberOfTeams+1,0,))</f>
        <v>9</v>
      </c>
      <c r="N24" s="28">
        <f>IF(TournamentData[[#This Row],[Team Number]]="","",_xlfn.XLOOKUP(TournamentData[[#This Row],[Team Number]],RobotDesignResults[Team Number],RobotDesignResults[Engineering Design Rank],NumberOfTeams+1,0,))</f>
        <v>9</v>
      </c>
      <c r="O2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4" s="29">
        <f>IF(TournamentData[[#This Row],[Team Number]]="","",IF(O24,RANK(O24,O$3:O$202,1)-COUNTIF(O$3:O$202,0),NumberOfTeams+1))</f>
        <v>9</v>
      </c>
      <c r="Q24" s="30">
        <f>_xlfn.XLOOKUP(TournamentData[[#This Row],[Team Number]],CoreValuesResults[Team Number],CoreValuesResults[Inspiration Selection],0,0,)</f>
        <v>0</v>
      </c>
      <c r="R24" s="30">
        <f>_xlfn.XLOOKUP(TournamentData[[#This Row],[Team Number]],CoreValuesResults[Team Number],CoreValuesResults[Rising All-Star Selection],0,0,)</f>
        <v>0</v>
      </c>
      <c r="S2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4" s="31"/>
      <c r="U24" s="31"/>
      <c r="V24" s="32"/>
      <c r="W24" s="91">
        <f>_xlfn.XLOOKUP(TournamentData[[#This Row],[Team Number]],CoreValuesResults[Team Number],CoreValuesResults[Core Values Score],0,0,)</f>
        <v>0</v>
      </c>
      <c r="X24" s="91">
        <f>_xlfn.XLOOKUP(TournamentData[[#This Row],[Team Number]],InnovationProjectResults[Team Number],InnovationProjectResults[Innovation Project Score],0,0,)</f>
        <v>0</v>
      </c>
      <c r="Y24" s="91">
        <f>_xlfn.XLOOKUP(TournamentData[[#This Row],[Team Number]],RobotDesignResults[Team Number],RobotDesignResults[Engineering Design Score],0,0,)</f>
        <v>0</v>
      </c>
      <c r="Z2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4" s="93">
        <f t="shared" si="0"/>
        <v>8</v>
      </c>
      <c r="AB24" s="31"/>
    </row>
    <row r="25" spans="1:28" ht="21" customHeight="1" x14ac:dyDescent="0.25">
      <c r="A25">
        <f>_xlfn.XLOOKUP(23,OfficialTeamList[Row],OfficialTeamList[Team Number],"ERROR",0)</f>
        <v>0</v>
      </c>
      <c r="B25" s="27" t="str">
        <f>_xlfn.XLOOKUP(TournamentData[[#This Row],[Team Number]],OfficialTeamList[Team Number],OfficialTeamList[Team Name],"",0,)</f>
        <v/>
      </c>
      <c r="C25" s="28">
        <f>IF(TournamentData[[#This Row],[Team Number]]="","",_xlfn.XLOOKUP(TournamentData[[#This Row],[Team Number]],RobotGameScores[Team Number],RobotGameScores[Match 1 Score],0,0,))</f>
        <v>0</v>
      </c>
      <c r="D25" s="28">
        <f>IF(TournamentData[[#This Row],[Team Number]]="","",_xlfn.XLOOKUP(TournamentData[[#This Row],[Team Number]],RobotGameScores[Team Number],RobotGameScores[Match 2 Score],0,0,))</f>
        <v>0</v>
      </c>
      <c r="E25" s="28">
        <f>IF(TournamentData[[#This Row],[Team Number]]="","",_xlfn.XLOOKUP(TournamentData[[#This Row],[Team Number]],RobotGameScores[Team Number],RobotGameScores[Match 3 Score],0,0,))</f>
        <v>0</v>
      </c>
      <c r="F25" s="28">
        <f>IF(TournamentData[[#This Row],[Team Number]]="","",_xlfn.XLOOKUP(TournamentData[[#This Row],[Team Number]],RobotGameScores[Team Number],RobotGameScores[Match 4 Score],0,0,))</f>
        <v>0</v>
      </c>
      <c r="G25" s="28">
        <f>IF(TournamentData[[#This Row],[Team Number]]="","",_xlfn.XLOOKUP(TournamentData[[#This Row],[Team Number]],RobotGameScores[Team Number],RobotGameScores[Match 5 Score],0,0,))</f>
        <v>0</v>
      </c>
      <c r="H25" s="28" t="str">
        <f>IF(TournamentData[[#This Row],[Team Name]]="","",_xlfn.XLOOKUP(TournamentData[[#This Row],[Team Name]],RobotGameScores[Team Name],RobotGameScores[Match 6 Score],0,0,))</f>
        <v/>
      </c>
      <c r="I25" s="28">
        <v>0</v>
      </c>
      <c r="J25" s="28">
        <f>SUM(TournamentData[[#This Row],[Match Score 1]:[Match Score 6]])/NumberOfRounds</f>
        <v>0</v>
      </c>
      <c r="K25" s="59">
        <f>IF(TournamentData[[#This Row],[Team Number]]="","",1+COUNTIFS($J$3:$J$201,"&gt;"&amp;J25)+COUNTIFS($J$3:$J$201,J25,$I$3:$I$201,"&gt;"&amp;I25))</f>
        <v>9</v>
      </c>
      <c r="L25" s="28">
        <f>IF(TournamentData[[#This Row],[Team Number]]="","",_xlfn.XLOOKUP(TournamentData[[#This Row],[Team Number]],CoreValuesResults[Team Number],CoreValuesResults[Core Values Rank],NumberOfTeams+1,0,))</f>
        <v>9</v>
      </c>
      <c r="M25" s="28">
        <f>IF(TournamentData[[#This Row],[Team Number]]="","",_xlfn.XLOOKUP(TournamentData[[#This Row],[Team Number]],InnovationProjectResults[Team Number],InnovationProjectResults[Innovation Project Rank],NumberOfTeams+1,0,))</f>
        <v>9</v>
      </c>
      <c r="N25" s="28">
        <f>IF(TournamentData[[#This Row],[Team Number]]="","",_xlfn.XLOOKUP(TournamentData[[#This Row],[Team Number]],RobotDesignResults[Team Number],RobotDesignResults[Engineering Design Rank],NumberOfTeams+1,0,))</f>
        <v>9</v>
      </c>
      <c r="O2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5" s="29">
        <f>IF(TournamentData[[#This Row],[Team Number]]="","",IF(O25,RANK(O25,O$3:O$202,1)-COUNTIF(O$3:O$202,0),NumberOfTeams+1))</f>
        <v>9</v>
      </c>
      <c r="Q25" s="30">
        <f>_xlfn.XLOOKUP(TournamentData[[#This Row],[Team Number]],CoreValuesResults[Team Number],CoreValuesResults[Inspiration Selection],0,0,)</f>
        <v>0</v>
      </c>
      <c r="R25" s="30">
        <f>_xlfn.XLOOKUP(TournamentData[[#This Row],[Team Number]],CoreValuesResults[Team Number],CoreValuesResults[Rising All-Star Selection],0,0,)</f>
        <v>0</v>
      </c>
      <c r="S2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5" s="31"/>
      <c r="U25" s="31"/>
      <c r="V25" s="32"/>
      <c r="W25" s="91">
        <f>_xlfn.XLOOKUP(TournamentData[[#This Row],[Team Number]],CoreValuesResults[Team Number],CoreValuesResults[Core Values Score],0,0,)</f>
        <v>0</v>
      </c>
      <c r="X25" s="91">
        <f>_xlfn.XLOOKUP(TournamentData[[#This Row],[Team Number]],InnovationProjectResults[Team Number],InnovationProjectResults[Innovation Project Score],0,0,)</f>
        <v>0</v>
      </c>
      <c r="Y25" s="91">
        <f>_xlfn.XLOOKUP(TournamentData[[#This Row],[Team Number]],RobotDesignResults[Team Number],RobotDesignResults[Engineering Design Score],0,0,)</f>
        <v>0</v>
      </c>
      <c r="Z2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5" s="93">
        <f t="shared" si="0"/>
        <v>8</v>
      </c>
      <c r="AB25" s="31"/>
    </row>
    <row r="26" spans="1:28" ht="21" customHeight="1" x14ac:dyDescent="0.25">
      <c r="A26">
        <f>_xlfn.XLOOKUP(24,OfficialTeamList[Row],OfficialTeamList[Team Number],"ERROR",0)</f>
        <v>0</v>
      </c>
      <c r="B26" s="27" t="str">
        <f>_xlfn.XLOOKUP(TournamentData[[#This Row],[Team Number]],OfficialTeamList[Team Number],OfficialTeamList[Team Name],"",0,)</f>
        <v/>
      </c>
      <c r="C26" s="28">
        <f>IF(TournamentData[[#This Row],[Team Number]]="","",_xlfn.XLOOKUP(TournamentData[[#This Row],[Team Number]],RobotGameScores[Team Number],RobotGameScores[Match 1 Score],0,0,))</f>
        <v>0</v>
      </c>
      <c r="D26" s="28">
        <f>IF(TournamentData[[#This Row],[Team Number]]="","",_xlfn.XLOOKUP(TournamentData[[#This Row],[Team Number]],RobotGameScores[Team Number],RobotGameScores[Match 2 Score],0,0,))</f>
        <v>0</v>
      </c>
      <c r="E26" s="28">
        <f>IF(TournamentData[[#This Row],[Team Number]]="","",_xlfn.XLOOKUP(TournamentData[[#This Row],[Team Number]],RobotGameScores[Team Number],RobotGameScores[Match 3 Score],0,0,))</f>
        <v>0</v>
      </c>
      <c r="F26" s="28">
        <f>IF(TournamentData[[#This Row],[Team Number]]="","",_xlfn.XLOOKUP(TournamentData[[#This Row],[Team Number]],RobotGameScores[Team Number],RobotGameScores[Match 4 Score],0,0,))</f>
        <v>0</v>
      </c>
      <c r="G26" s="28">
        <f>IF(TournamentData[[#This Row],[Team Number]]="","",_xlfn.XLOOKUP(TournamentData[[#This Row],[Team Number]],RobotGameScores[Team Number],RobotGameScores[Match 5 Score],0,0,))</f>
        <v>0</v>
      </c>
      <c r="H26" s="28" t="str">
        <f>IF(TournamentData[[#This Row],[Team Name]]="","",_xlfn.XLOOKUP(TournamentData[[#This Row],[Team Name]],RobotGameScores[Team Name],RobotGameScores[Match 6 Score],0,0,))</f>
        <v/>
      </c>
      <c r="I26" s="28">
        <v>0</v>
      </c>
      <c r="J26" s="28">
        <f>SUM(TournamentData[[#This Row],[Match Score 1]:[Match Score 6]])/NumberOfRounds</f>
        <v>0</v>
      </c>
      <c r="K26" s="60">
        <f>IF(TournamentData[[#This Row],[Team Number]]="","",1+COUNTIFS($J$3:$J$201,"&gt;"&amp;J26)+COUNTIFS($J$3:$J$201,J26,$I$3:$I$201,"&gt;"&amp;I26))</f>
        <v>9</v>
      </c>
      <c r="L26" s="28">
        <f>IF(TournamentData[[#This Row],[Team Number]]="","",_xlfn.XLOOKUP(TournamentData[[#This Row],[Team Number]],CoreValuesResults[Team Number],CoreValuesResults[Core Values Rank],NumberOfTeams+1,0,))</f>
        <v>9</v>
      </c>
      <c r="M26" s="28">
        <f>IF(TournamentData[[#This Row],[Team Number]]="","",_xlfn.XLOOKUP(TournamentData[[#This Row],[Team Number]],InnovationProjectResults[Team Number],InnovationProjectResults[Innovation Project Rank],NumberOfTeams+1,0,))</f>
        <v>9</v>
      </c>
      <c r="N26" s="28">
        <f>IF(TournamentData[[#This Row],[Team Number]]="","",_xlfn.XLOOKUP(TournamentData[[#This Row],[Team Number]],RobotDesignResults[Team Number],RobotDesignResults[Engineering Design Rank],NumberOfTeams+1,0,))</f>
        <v>9</v>
      </c>
      <c r="O2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6" s="29">
        <f>IF(TournamentData[[#This Row],[Team Number]]="","",IF(O26,RANK(O26,O$3:O$202,1)-COUNTIF(O$3:O$202,0),NumberOfTeams+1))</f>
        <v>9</v>
      </c>
      <c r="Q26" s="30">
        <f>_xlfn.XLOOKUP(TournamentData[[#This Row],[Team Number]],CoreValuesResults[Team Number],CoreValuesResults[Inspiration Selection],0,0,)</f>
        <v>0</v>
      </c>
      <c r="R26" s="33">
        <f>_xlfn.XLOOKUP(TournamentData[[#This Row],[Team Number]],CoreValuesResults[Team Number],CoreValuesResults[Rising All-Star Selection],0,0,)</f>
        <v>0</v>
      </c>
      <c r="S2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6" s="31"/>
      <c r="U26" s="31"/>
      <c r="V26" s="32"/>
      <c r="W26" s="91">
        <f>_xlfn.XLOOKUP(TournamentData[[#This Row],[Team Number]],CoreValuesResults[Team Number],CoreValuesResults[Core Values Score],0,0,)</f>
        <v>0</v>
      </c>
      <c r="X26" s="91">
        <f>_xlfn.XLOOKUP(TournamentData[[#This Row],[Team Number]],InnovationProjectResults[Team Number],InnovationProjectResults[Innovation Project Score],0,0,)</f>
        <v>0</v>
      </c>
      <c r="Y26" s="91">
        <f>_xlfn.XLOOKUP(TournamentData[[#This Row],[Team Number]],RobotDesignResults[Team Number],RobotDesignResults[Engineering Design Score],0,0,)</f>
        <v>0</v>
      </c>
      <c r="Z2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6" s="93">
        <f t="shared" si="0"/>
        <v>8</v>
      </c>
      <c r="AB26" s="31"/>
    </row>
    <row r="27" spans="1:28" ht="21" customHeight="1" x14ac:dyDescent="0.25">
      <c r="A27">
        <f>_xlfn.XLOOKUP(25,OfficialTeamList[Row],OfficialTeamList[Team Number],"ERROR",0)</f>
        <v>0</v>
      </c>
      <c r="B27" s="27" t="str">
        <f>_xlfn.XLOOKUP(TournamentData[[#This Row],[Team Number]],OfficialTeamList[Team Number],OfficialTeamList[Team Name],"",0,)</f>
        <v/>
      </c>
      <c r="C27" s="28">
        <f>IF(TournamentData[[#This Row],[Team Number]]="","",_xlfn.XLOOKUP(TournamentData[[#This Row],[Team Number]],RobotGameScores[Team Number],RobotGameScores[Match 1 Score],0,0,))</f>
        <v>0</v>
      </c>
      <c r="D27" s="28">
        <f>IF(TournamentData[[#This Row],[Team Number]]="","",_xlfn.XLOOKUP(TournamentData[[#This Row],[Team Number]],RobotGameScores[Team Number],RobotGameScores[Match 2 Score],0,0,))</f>
        <v>0</v>
      </c>
      <c r="E27" s="28">
        <f>IF(TournamentData[[#This Row],[Team Number]]="","",_xlfn.XLOOKUP(TournamentData[[#This Row],[Team Number]],RobotGameScores[Team Number],RobotGameScores[Match 3 Score],0,0,))</f>
        <v>0</v>
      </c>
      <c r="F27" s="28">
        <f>IF(TournamentData[[#This Row],[Team Number]]="","",_xlfn.XLOOKUP(TournamentData[[#This Row],[Team Number]],RobotGameScores[Team Number],RobotGameScores[Match 4 Score],0,0,))</f>
        <v>0</v>
      </c>
      <c r="G27" s="28">
        <f>IF(TournamentData[[#This Row],[Team Number]]="","",_xlfn.XLOOKUP(TournamentData[[#This Row],[Team Number]],RobotGameScores[Team Number],RobotGameScores[Match 5 Score],0,0,))</f>
        <v>0</v>
      </c>
      <c r="H27" s="28" t="str">
        <f>IF(TournamentData[[#This Row],[Team Name]]="","",_xlfn.XLOOKUP(TournamentData[[#This Row],[Team Name]],RobotGameScores[Team Name],RobotGameScores[Match 6 Score],0,0,))</f>
        <v/>
      </c>
      <c r="I27" s="28">
        <v>0</v>
      </c>
      <c r="J27" s="28">
        <f>SUM(TournamentData[[#This Row],[Match Score 1]:[Match Score 6]])/NumberOfRounds</f>
        <v>0</v>
      </c>
      <c r="K27" s="59">
        <f>IF(TournamentData[[#This Row],[Team Number]]="","",1+COUNTIFS($J$3:$J$201,"&gt;"&amp;J27)+COUNTIFS($J$3:$J$201,J27,$I$3:$I$201,"&gt;"&amp;I27))</f>
        <v>9</v>
      </c>
      <c r="L27" s="28">
        <f>IF(TournamentData[[#This Row],[Team Number]]="","",_xlfn.XLOOKUP(TournamentData[[#This Row],[Team Number]],CoreValuesResults[Team Number],CoreValuesResults[Core Values Rank],NumberOfTeams+1,0,))</f>
        <v>9</v>
      </c>
      <c r="M27" s="28">
        <f>IF(TournamentData[[#This Row],[Team Number]]="","",_xlfn.XLOOKUP(TournamentData[[#This Row],[Team Number]],InnovationProjectResults[Team Number],InnovationProjectResults[Innovation Project Rank],NumberOfTeams+1,0,))</f>
        <v>9</v>
      </c>
      <c r="N27" s="28">
        <f>IF(TournamentData[[#This Row],[Team Number]]="","",_xlfn.XLOOKUP(TournamentData[[#This Row],[Team Number]],RobotDesignResults[Team Number],RobotDesignResults[Engineering Design Rank],NumberOfTeams+1,0,))</f>
        <v>9</v>
      </c>
      <c r="O2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7" s="29">
        <f>IF(TournamentData[[#This Row],[Team Number]]="","",IF(O27,RANK(O27,O$3:O$202,1)-COUNTIF(O$3:O$202,0),NumberOfTeams+1))</f>
        <v>9</v>
      </c>
      <c r="Q27" s="30">
        <f>_xlfn.XLOOKUP(TournamentData[[#This Row],[Team Number]],CoreValuesResults[Team Number],CoreValuesResults[Inspiration Selection],0,0,)</f>
        <v>0</v>
      </c>
      <c r="R27" s="30">
        <f>_xlfn.XLOOKUP(TournamentData[[#This Row],[Team Number]],CoreValuesResults[Team Number],CoreValuesResults[Rising All-Star Selection],0,0,)</f>
        <v>0</v>
      </c>
      <c r="S2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7" s="31"/>
      <c r="U27" s="31"/>
      <c r="V27" s="32"/>
      <c r="W27" s="91">
        <f>_xlfn.XLOOKUP(TournamentData[[#This Row],[Team Number]],CoreValuesResults[Team Number],CoreValuesResults[Core Values Score],0,0,)</f>
        <v>0</v>
      </c>
      <c r="X27" s="91">
        <f>_xlfn.XLOOKUP(TournamentData[[#This Row],[Team Number]],InnovationProjectResults[Team Number],InnovationProjectResults[Innovation Project Score],0,0,)</f>
        <v>0</v>
      </c>
      <c r="Y27" s="91">
        <f>_xlfn.XLOOKUP(TournamentData[[#This Row],[Team Number]],RobotDesignResults[Team Number],RobotDesignResults[Engineering Design Score],0,0,)</f>
        <v>0</v>
      </c>
      <c r="Z2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7" s="93">
        <f t="shared" si="0"/>
        <v>8</v>
      </c>
      <c r="AB27" s="31"/>
    </row>
    <row r="28" spans="1:28" ht="21" customHeight="1" x14ac:dyDescent="0.25">
      <c r="A28">
        <f>_xlfn.XLOOKUP(26,OfficialTeamList[Row],OfficialTeamList[Team Number],"ERROR",0)</f>
        <v>0</v>
      </c>
      <c r="B28" s="27" t="str">
        <f>_xlfn.XLOOKUP(TournamentData[[#This Row],[Team Number]],OfficialTeamList[Team Number],OfficialTeamList[Team Name],"",0,)</f>
        <v/>
      </c>
      <c r="C28" s="28">
        <f>IF(TournamentData[[#This Row],[Team Number]]="","",_xlfn.XLOOKUP(TournamentData[[#This Row],[Team Number]],RobotGameScores[Team Number],RobotGameScores[Match 1 Score],0,0,))</f>
        <v>0</v>
      </c>
      <c r="D28" s="28">
        <f>IF(TournamentData[[#This Row],[Team Number]]="","",_xlfn.XLOOKUP(TournamentData[[#This Row],[Team Number]],RobotGameScores[Team Number],RobotGameScores[Match 2 Score],0,0,))</f>
        <v>0</v>
      </c>
      <c r="E28" s="28">
        <f>IF(TournamentData[[#This Row],[Team Number]]="","",_xlfn.XLOOKUP(TournamentData[[#This Row],[Team Number]],RobotGameScores[Team Number],RobotGameScores[Match 3 Score],0,0,))</f>
        <v>0</v>
      </c>
      <c r="F28" s="28">
        <f>IF(TournamentData[[#This Row],[Team Number]]="","",_xlfn.XLOOKUP(TournamentData[[#This Row],[Team Number]],RobotGameScores[Team Number],RobotGameScores[Match 4 Score],0,0,))</f>
        <v>0</v>
      </c>
      <c r="G28" s="28">
        <f>IF(TournamentData[[#This Row],[Team Number]]="","",_xlfn.XLOOKUP(TournamentData[[#This Row],[Team Number]],RobotGameScores[Team Number],RobotGameScores[Match 5 Score],0,0,))</f>
        <v>0</v>
      </c>
      <c r="H28" s="28" t="str">
        <f>IF(TournamentData[[#This Row],[Team Name]]="","",_xlfn.XLOOKUP(TournamentData[[#This Row],[Team Name]],RobotGameScores[Team Name],RobotGameScores[Match 6 Score],0,0,))</f>
        <v/>
      </c>
      <c r="I28" s="28">
        <v>0</v>
      </c>
      <c r="J28" s="28">
        <f>SUM(TournamentData[[#This Row],[Match Score 1]:[Match Score 6]])/NumberOfRounds</f>
        <v>0</v>
      </c>
      <c r="K28" s="60">
        <f>IF(TournamentData[[#This Row],[Team Number]]="","",1+COUNTIFS($J$3:$J$201,"&gt;"&amp;J28)+COUNTIFS($J$3:$J$201,J28,$I$3:$I$201,"&gt;"&amp;I28))</f>
        <v>9</v>
      </c>
      <c r="L28" s="28">
        <f>IF(TournamentData[[#This Row],[Team Number]]="","",_xlfn.XLOOKUP(TournamentData[[#This Row],[Team Number]],CoreValuesResults[Team Number],CoreValuesResults[Core Values Rank],NumberOfTeams+1,0,))</f>
        <v>9</v>
      </c>
      <c r="M28" s="28">
        <f>IF(TournamentData[[#This Row],[Team Number]]="","",_xlfn.XLOOKUP(TournamentData[[#This Row],[Team Number]],InnovationProjectResults[Team Number],InnovationProjectResults[Innovation Project Rank],NumberOfTeams+1,0,))</f>
        <v>9</v>
      </c>
      <c r="N28" s="28">
        <f>IF(TournamentData[[#This Row],[Team Number]]="","",_xlfn.XLOOKUP(TournamentData[[#This Row],[Team Number]],RobotDesignResults[Team Number],RobotDesignResults[Engineering Design Rank],NumberOfTeams+1,0,))</f>
        <v>9</v>
      </c>
      <c r="O2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8" s="29">
        <f>IF(TournamentData[[#This Row],[Team Number]]="","",IF(O28,RANK(O28,O$3:O$202,1)-COUNTIF(O$3:O$202,0),NumberOfTeams+1))</f>
        <v>9</v>
      </c>
      <c r="Q28" s="30">
        <f>_xlfn.XLOOKUP(TournamentData[[#This Row],[Team Number]],CoreValuesResults[Team Number],CoreValuesResults[Inspiration Selection],0,0,)</f>
        <v>0</v>
      </c>
      <c r="R28" s="30">
        <f>_xlfn.XLOOKUP(TournamentData[[#This Row],[Team Number]],CoreValuesResults[Team Number],CoreValuesResults[Rising All-Star Selection],0,0,)</f>
        <v>0</v>
      </c>
      <c r="S2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8" s="31"/>
      <c r="U28" s="31"/>
      <c r="V28" s="32"/>
      <c r="W28" s="91">
        <f>_xlfn.XLOOKUP(TournamentData[[#This Row],[Team Number]],CoreValuesResults[Team Number],CoreValuesResults[Core Values Score],0,0,)</f>
        <v>0</v>
      </c>
      <c r="X28" s="91">
        <f>_xlfn.XLOOKUP(TournamentData[[#This Row],[Team Number]],InnovationProjectResults[Team Number],InnovationProjectResults[Innovation Project Score],0,0,)</f>
        <v>0</v>
      </c>
      <c r="Y28" s="91">
        <f>_xlfn.XLOOKUP(TournamentData[[#This Row],[Team Number]],RobotDesignResults[Team Number],RobotDesignResults[Engineering Design Score],0,0,)</f>
        <v>0</v>
      </c>
      <c r="Z2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8" s="93">
        <f t="shared" si="0"/>
        <v>8</v>
      </c>
      <c r="AB28" s="31"/>
    </row>
    <row r="29" spans="1:28" ht="21" customHeight="1" x14ac:dyDescent="0.25">
      <c r="A29">
        <f>_xlfn.XLOOKUP(27,OfficialTeamList[Row],OfficialTeamList[Team Number],"ERROR",0)</f>
        <v>0</v>
      </c>
      <c r="B29" s="27" t="str">
        <f>_xlfn.XLOOKUP(TournamentData[[#This Row],[Team Number]],OfficialTeamList[Team Number],OfficialTeamList[Team Name],"",0,)</f>
        <v/>
      </c>
      <c r="C29" s="28">
        <f>IF(TournamentData[[#This Row],[Team Number]]="","",_xlfn.XLOOKUP(TournamentData[[#This Row],[Team Number]],RobotGameScores[Team Number],RobotGameScores[Match 1 Score],0,0,))</f>
        <v>0</v>
      </c>
      <c r="D29" s="28">
        <f>IF(TournamentData[[#This Row],[Team Number]]="","",_xlfn.XLOOKUP(TournamentData[[#This Row],[Team Number]],RobotGameScores[Team Number],RobotGameScores[Match 2 Score],0,0,))</f>
        <v>0</v>
      </c>
      <c r="E29" s="28">
        <f>IF(TournamentData[[#This Row],[Team Number]]="","",_xlfn.XLOOKUP(TournamentData[[#This Row],[Team Number]],RobotGameScores[Team Number],RobotGameScores[Match 3 Score],0,0,))</f>
        <v>0</v>
      </c>
      <c r="F29" s="28">
        <f>IF(TournamentData[[#This Row],[Team Number]]="","",_xlfn.XLOOKUP(TournamentData[[#This Row],[Team Number]],RobotGameScores[Team Number],RobotGameScores[Match 4 Score],0,0,))</f>
        <v>0</v>
      </c>
      <c r="G29" s="28">
        <f>IF(TournamentData[[#This Row],[Team Number]]="","",_xlfn.XLOOKUP(TournamentData[[#This Row],[Team Number]],RobotGameScores[Team Number],RobotGameScores[Match 5 Score],0,0,))</f>
        <v>0</v>
      </c>
      <c r="H29" s="28" t="str">
        <f>IF(TournamentData[[#This Row],[Team Name]]="","",_xlfn.XLOOKUP(TournamentData[[#This Row],[Team Name]],RobotGameScores[Team Name],RobotGameScores[Match 6 Score],0,0,))</f>
        <v/>
      </c>
      <c r="I29" s="28">
        <v>0</v>
      </c>
      <c r="J29" s="28">
        <f>SUM(TournamentData[[#This Row],[Match Score 1]:[Match Score 6]])/NumberOfRounds</f>
        <v>0</v>
      </c>
      <c r="K29" s="59">
        <f>IF(TournamentData[[#This Row],[Team Number]]="","",1+COUNTIFS($J$3:$J$201,"&gt;"&amp;J29)+COUNTIFS($J$3:$J$201,J29,$I$3:$I$201,"&gt;"&amp;I29))</f>
        <v>9</v>
      </c>
      <c r="L29" s="28">
        <f>IF(TournamentData[[#This Row],[Team Number]]="","",_xlfn.XLOOKUP(TournamentData[[#This Row],[Team Number]],CoreValuesResults[Team Number],CoreValuesResults[Core Values Rank],NumberOfTeams+1,0,))</f>
        <v>9</v>
      </c>
      <c r="M29" s="28">
        <f>IF(TournamentData[[#This Row],[Team Number]]="","",_xlfn.XLOOKUP(TournamentData[[#This Row],[Team Number]],InnovationProjectResults[Team Number],InnovationProjectResults[Innovation Project Rank],NumberOfTeams+1,0,))</f>
        <v>9</v>
      </c>
      <c r="N29" s="28">
        <f>IF(TournamentData[[#This Row],[Team Number]]="","",_xlfn.XLOOKUP(TournamentData[[#This Row],[Team Number]],RobotDesignResults[Team Number],RobotDesignResults[Engineering Design Rank],NumberOfTeams+1,0,))</f>
        <v>9</v>
      </c>
      <c r="O2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9" s="29">
        <f>IF(TournamentData[[#This Row],[Team Number]]="","",IF(O29,RANK(O29,O$3:O$202,1)-COUNTIF(O$3:O$202,0),NumberOfTeams+1))</f>
        <v>9</v>
      </c>
      <c r="Q29" s="30">
        <f>_xlfn.XLOOKUP(TournamentData[[#This Row],[Team Number]],CoreValuesResults[Team Number],CoreValuesResults[Inspiration Selection],0,0,)</f>
        <v>0</v>
      </c>
      <c r="R29" s="30">
        <f>_xlfn.XLOOKUP(TournamentData[[#This Row],[Team Number]],CoreValuesResults[Team Number],CoreValuesResults[Rising All-Star Selection],0,0,)</f>
        <v>0</v>
      </c>
      <c r="S2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9" s="31"/>
      <c r="U29" s="31"/>
      <c r="V29" s="32"/>
      <c r="W29" s="91">
        <f>_xlfn.XLOOKUP(TournamentData[[#This Row],[Team Number]],CoreValuesResults[Team Number],CoreValuesResults[Core Values Score],0,0,)</f>
        <v>0</v>
      </c>
      <c r="X29" s="91">
        <f>_xlfn.XLOOKUP(TournamentData[[#This Row],[Team Number]],InnovationProjectResults[Team Number],InnovationProjectResults[Innovation Project Score],0,0,)</f>
        <v>0</v>
      </c>
      <c r="Y29" s="91">
        <f>_xlfn.XLOOKUP(TournamentData[[#This Row],[Team Number]],RobotDesignResults[Team Number],RobotDesignResults[Engineering Design Score],0,0,)</f>
        <v>0</v>
      </c>
      <c r="Z2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9" s="93">
        <f t="shared" si="0"/>
        <v>8</v>
      </c>
      <c r="AB29" s="31"/>
    </row>
    <row r="30" spans="1:28" ht="21" customHeight="1" x14ac:dyDescent="0.25">
      <c r="A30">
        <f>_xlfn.XLOOKUP(28,OfficialTeamList[Row],OfficialTeamList[Team Number],"ERROR",0)</f>
        <v>0</v>
      </c>
      <c r="B30" s="27" t="str">
        <f>_xlfn.XLOOKUP(TournamentData[[#This Row],[Team Number]],OfficialTeamList[Team Number],OfficialTeamList[Team Name],"",0,)</f>
        <v/>
      </c>
      <c r="C30" s="28">
        <f>IF(TournamentData[[#This Row],[Team Number]]="","",_xlfn.XLOOKUP(TournamentData[[#This Row],[Team Number]],RobotGameScores[Team Number],RobotGameScores[Match 1 Score],0,0,))</f>
        <v>0</v>
      </c>
      <c r="D30" s="28">
        <f>IF(TournamentData[[#This Row],[Team Number]]="","",_xlfn.XLOOKUP(TournamentData[[#This Row],[Team Number]],RobotGameScores[Team Number],RobotGameScores[Match 2 Score],0,0,))</f>
        <v>0</v>
      </c>
      <c r="E30" s="28">
        <f>IF(TournamentData[[#This Row],[Team Number]]="","",_xlfn.XLOOKUP(TournamentData[[#This Row],[Team Number]],RobotGameScores[Team Number],RobotGameScores[Match 3 Score],0,0,))</f>
        <v>0</v>
      </c>
      <c r="F30" s="28">
        <f>IF(TournamentData[[#This Row],[Team Number]]="","",_xlfn.XLOOKUP(TournamentData[[#This Row],[Team Number]],RobotGameScores[Team Number],RobotGameScores[Match 4 Score],0,0,))</f>
        <v>0</v>
      </c>
      <c r="G30" s="28">
        <f>IF(TournamentData[[#This Row],[Team Number]]="","",_xlfn.XLOOKUP(TournamentData[[#This Row],[Team Number]],RobotGameScores[Team Number],RobotGameScores[Match 5 Score],0,0,))</f>
        <v>0</v>
      </c>
      <c r="H30" s="28" t="str">
        <f>IF(TournamentData[[#This Row],[Team Name]]="","",_xlfn.XLOOKUP(TournamentData[[#This Row],[Team Name]],RobotGameScores[Team Name],RobotGameScores[Match 6 Score],0,0,))</f>
        <v/>
      </c>
      <c r="I30" s="28">
        <v>0</v>
      </c>
      <c r="J30" s="28">
        <f>SUM(TournamentData[[#This Row],[Match Score 1]:[Match Score 6]])/NumberOfRounds</f>
        <v>0</v>
      </c>
      <c r="K30" s="60">
        <f>IF(TournamentData[[#This Row],[Team Number]]="","",1+COUNTIFS($J$3:$J$201,"&gt;"&amp;J30)+COUNTIFS($J$3:$J$201,J30,$I$3:$I$201,"&gt;"&amp;I30))</f>
        <v>9</v>
      </c>
      <c r="L30" s="28">
        <f>IF(TournamentData[[#This Row],[Team Number]]="","",_xlfn.XLOOKUP(TournamentData[[#This Row],[Team Number]],CoreValuesResults[Team Number],CoreValuesResults[Core Values Rank],NumberOfTeams+1,0,))</f>
        <v>9</v>
      </c>
      <c r="M30" s="28">
        <f>IF(TournamentData[[#This Row],[Team Number]]="","",_xlfn.XLOOKUP(TournamentData[[#This Row],[Team Number]],InnovationProjectResults[Team Number],InnovationProjectResults[Innovation Project Rank],NumberOfTeams+1,0,))</f>
        <v>9</v>
      </c>
      <c r="N30" s="28">
        <f>IF(TournamentData[[#This Row],[Team Number]]="","",_xlfn.XLOOKUP(TournamentData[[#This Row],[Team Number]],RobotDesignResults[Team Number],RobotDesignResults[Engineering Design Rank],NumberOfTeams+1,0,))</f>
        <v>9</v>
      </c>
      <c r="O3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30" s="29">
        <f>IF(TournamentData[[#This Row],[Team Number]]="","",IF(O30,RANK(O30,O$3:O$202,1)-COUNTIF(O$3:O$202,0),NumberOfTeams+1))</f>
        <v>9</v>
      </c>
      <c r="Q30" s="30">
        <f>_xlfn.XLOOKUP(TournamentData[[#This Row],[Team Number]],CoreValuesResults[Team Number],CoreValuesResults[Inspiration Selection],0,0,)</f>
        <v>0</v>
      </c>
      <c r="R30" s="33">
        <f>_xlfn.XLOOKUP(TournamentData[[#This Row],[Team Number]],CoreValuesResults[Team Number],CoreValuesResults[Rising All-Star Selection],0,0,)</f>
        <v>0</v>
      </c>
      <c r="S3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30" s="31"/>
      <c r="U30" s="31"/>
      <c r="V30" s="32"/>
      <c r="W30" s="91">
        <f>_xlfn.XLOOKUP(TournamentData[[#This Row],[Team Number]],CoreValuesResults[Team Number],CoreValuesResults[Core Values Score],0,0,)</f>
        <v>0</v>
      </c>
      <c r="X30" s="91">
        <f>_xlfn.XLOOKUP(TournamentData[[#This Row],[Team Number]],InnovationProjectResults[Team Number],InnovationProjectResults[Innovation Project Score],0,0,)</f>
        <v>0</v>
      </c>
      <c r="Y30" s="91">
        <f>_xlfn.XLOOKUP(TournamentData[[#This Row],[Team Number]],RobotDesignResults[Team Number],RobotDesignResults[Engineering Design Score],0,0,)</f>
        <v>0</v>
      </c>
      <c r="Z3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30" s="93">
        <f t="shared" si="0"/>
        <v>8</v>
      </c>
      <c r="AB30" s="31"/>
    </row>
    <row r="31" spans="1:28" ht="21" customHeight="1" x14ac:dyDescent="0.25">
      <c r="A31">
        <f>_xlfn.XLOOKUP(29,OfficialTeamList[Row],OfficialTeamList[Team Number],"ERROR",0)</f>
        <v>0</v>
      </c>
      <c r="B31" s="27" t="str">
        <f>_xlfn.XLOOKUP(TournamentData[[#This Row],[Team Number]],OfficialTeamList[Team Number],OfficialTeamList[Team Name],"",0,)</f>
        <v/>
      </c>
      <c r="C31" s="28">
        <f>IF(TournamentData[[#This Row],[Team Number]]="","",_xlfn.XLOOKUP(TournamentData[[#This Row],[Team Number]],RobotGameScores[Team Number],RobotGameScores[Match 1 Score],0,0,))</f>
        <v>0</v>
      </c>
      <c r="D31" s="28">
        <f>IF(TournamentData[[#This Row],[Team Number]]="","",_xlfn.XLOOKUP(TournamentData[[#This Row],[Team Number]],RobotGameScores[Team Number],RobotGameScores[Match 2 Score],0,0,))</f>
        <v>0</v>
      </c>
      <c r="E31" s="28">
        <f>IF(TournamentData[[#This Row],[Team Number]]="","",_xlfn.XLOOKUP(TournamentData[[#This Row],[Team Number]],RobotGameScores[Team Number],RobotGameScores[Match 3 Score],0,0,))</f>
        <v>0</v>
      </c>
      <c r="F31" s="28">
        <f>IF(TournamentData[[#This Row],[Team Number]]="","",_xlfn.XLOOKUP(TournamentData[[#This Row],[Team Number]],RobotGameScores[Team Number],RobotGameScores[Match 4 Score],0,0,))</f>
        <v>0</v>
      </c>
      <c r="G31" s="28">
        <f>IF(TournamentData[[#This Row],[Team Number]]="","",_xlfn.XLOOKUP(TournamentData[[#This Row],[Team Number]],RobotGameScores[Team Number],RobotGameScores[Match 5 Score],0,0,))</f>
        <v>0</v>
      </c>
      <c r="H31" s="28" t="str">
        <f>IF(TournamentData[[#This Row],[Team Name]]="","",_xlfn.XLOOKUP(TournamentData[[#This Row],[Team Name]],RobotGameScores[Team Name],RobotGameScores[Match 6 Score],0,0,))</f>
        <v/>
      </c>
      <c r="I31" s="28">
        <v>0</v>
      </c>
      <c r="J31" s="28">
        <f>SUM(TournamentData[[#This Row],[Match Score 1]:[Match Score 6]])/NumberOfRounds</f>
        <v>0</v>
      </c>
      <c r="K31" s="59">
        <f>IF(TournamentData[[#This Row],[Team Number]]="","",1+COUNTIFS($J$3:$J$201,"&gt;"&amp;J31)+COUNTIFS($J$3:$J$201,J31,$I$3:$I$201,"&gt;"&amp;I31))</f>
        <v>9</v>
      </c>
      <c r="L31" s="28">
        <f>IF(TournamentData[[#This Row],[Team Number]]="","",_xlfn.XLOOKUP(TournamentData[[#This Row],[Team Number]],CoreValuesResults[Team Number],CoreValuesResults[Core Values Rank],NumberOfTeams+1,0,))</f>
        <v>9</v>
      </c>
      <c r="M31" s="28">
        <f>IF(TournamentData[[#This Row],[Team Number]]="","",_xlfn.XLOOKUP(TournamentData[[#This Row],[Team Number]],InnovationProjectResults[Team Number],InnovationProjectResults[Innovation Project Rank],NumberOfTeams+1,0,))</f>
        <v>9</v>
      </c>
      <c r="N31" s="28">
        <f>IF(TournamentData[[#This Row],[Team Number]]="","",_xlfn.XLOOKUP(TournamentData[[#This Row],[Team Number]],RobotDesignResults[Team Number],RobotDesignResults[Engineering Design Rank],NumberOfTeams+1,0,))</f>
        <v>9</v>
      </c>
      <c r="O3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31" s="29">
        <f>IF(TournamentData[[#This Row],[Team Number]]="","",IF(O31,RANK(O31,O$3:O$202,1)-COUNTIF(O$3:O$202,0),NumberOfTeams+1))</f>
        <v>9</v>
      </c>
      <c r="Q31" s="30">
        <f>_xlfn.XLOOKUP(TournamentData[[#This Row],[Team Number]],CoreValuesResults[Team Number],CoreValuesResults[Inspiration Selection],0,0,)</f>
        <v>0</v>
      </c>
      <c r="R31" s="30">
        <f>_xlfn.XLOOKUP(TournamentData[[#This Row],[Team Number]],CoreValuesResults[Team Number],CoreValuesResults[Rising All-Star Selection],0,0,)</f>
        <v>0</v>
      </c>
      <c r="S3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31" s="31"/>
      <c r="U31" s="31"/>
      <c r="V31" s="32"/>
      <c r="W31" s="91">
        <f>_xlfn.XLOOKUP(TournamentData[[#This Row],[Team Number]],CoreValuesResults[Team Number],CoreValuesResults[Core Values Score],0,0,)</f>
        <v>0</v>
      </c>
      <c r="X31" s="91">
        <f>_xlfn.XLOOKUP(TournamentData[[#This Row],[Team Number]],InnovationProjectResults[Team Number],InnovationProjectResults[Innovation Project Score],0,0,)</f>
        <v>0</v>
      </c>
      <c r="Y31" s="91">
        <f>_xlfn.XLOOKUP(TournamentData[[#This Row],[Team Number]],RobotDesignResults[Team Number],RobotDesignResults[Engineering Design Score],0,0,)</f>
        <v>0</v>
      </c>
      <c r="Z3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31" s="93">
        <f t="shared" si="0"/>
        <v>8</v>
      </c>
      <c r="AB31" s="31"/>
    </row>
    <row r="32" spans="1:28" ht="21" customHeight="1" x14ac:dyDescent="0.25">
      <c r="A32">
        <f>_xlfn.XLOOKUP(30,OfficialTeamList[Row],OfficialTeamList[Team Number],"ERROR",0)</f>
        <v>0</v>
      </c>
      <c r="B32" s="27" t="str">
        <f>_xlfn.XLOOKUP(TournamentData[[#This Row],[Team Number]],OfficialTeamList[Team Number],OfficialTeamList[Team Name],"",0,)</f>
        <v/>
      </c>
      <c r="C32" s="28">
        <f>IF(TournamentData[[#This Row],[Team Number]]="","",_xlfn.XLOOKUP(TournamentData[[#This Row],[Team Number]],RobotGameScores[Team Number],RobotGameScores[Match 1 Score],0,0,))</f>
        <v>0</v>
      </c>
      <c r="D32" s="28">
        <f>IF(TournamentData[[#This Row],[Team Number]]="","",_xlfn.XLOOKUP(TournamentData[[#This Row],[Team Number]],RobotGameScores[Team Number],RobotGameScores[Match 2 Score],0,0,))</f>
        <v>0</v>
      </c>
      <c r="E32" s="28">
        <f>IF(TournamentData[[#This Row],[Team Number]]="","",_xlfn.XLOOKUP(TournamentData[[#This Row],[Team Number]],RobotGameScores[Team Number],RobotGameScores[Match 3 Score],0,0,))</f>
        <v>0</v>
      </c>
      <c r="F32" s="28">
        <f>IF(TournamentData[[#This Row],[Team Number]]="","",_xlfn.XLOOKUP(TournamentData[[#This Row],[Team Number]],RobotGameScores[Team Number],RobotGameScores[Match 4 Score],0,0,))</f>
        <v>0</v>
      </c>
      <c r="G32" s="28">
        <f>IF(TournamentData[[#This Row],[Team Number]]="","",_xlfn.XLOOKUP(TournamentData[[#This Row],[Team Number]],RobotGameScores[Team Number],RobotGameScores[Match 5 Score],0,0,))</f>
        <v>0</v>
      </c>
      <c r="H32" s="28" t="str">
        <f>IF(TournamentData[[#This Row],[Team Name]]="","",_xlfn.XLOOKUP(TournamentData[[#This Row],[Team Name]],RobotGameScores[Team Name],RobotGameScores[Match 6 Score],0,0,))</f>
        <v/>
      </c>
      <c r="I32" s="28">
        <v>0</v>
      </c>
      <c r="J32" s="28">
        <f>SUM(TournamentData[[#This Row],[Match Score 1]:[Match Score 6]])/NumberOfRounds</f>
        <v>0</v>
      </c>
      <c r="K32" s="60">
        <f>IF(TournamentData[[#This Row],[Team Number]]="","",1+COUNTIFS($J$3:$J$201,"&gt;"&amp;J32)+COUNTIFS($J$3:$J$201,J32,$I$3:$I$201,"&gt;"&amp;I32))</f>
        <v>9</v>
      </c>
      <c r="L32" s="28">
        <f>IF(TournamentData[[#This Row],[Team Number]]="","",_xlfn.XLOOKUP(TournamentData[[#This Row],[Team Number]],CoreValuesResults[Team Number],CoreValuesResults[Core Values Rank],NumberOfTeams+1,0,))</f>
        <v>9</v>
      </c>
      <c r="M32" s="28">
        <f>IF(TournamentData[[#This Row],[Team Number]]="","",_xlfn.XLOOKUP(TournamentData[[#This Row],[Team Number]],InnovationProjectResults[Team Number],InnovationProjectResults[Innovation Project Rank],NumberOfTeams+1,0,))</f>
        <v>9</v>
      </c>
      <c r="N32" s="28">
        <f>IF(TournamentData[[#This Row],[Team Number]]="","",_xlfn.XLOOKUP(TournamentData[[#This Row],[Team Number]],RobotDesignResults[Team Number],RobotDesignResults[Engineering Design Rank],NumberOfTeams+1,0,))</f>
        <v>9</v>
      </c>
      <c r="O3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32" s="29">
        <f>IF(TournamentData[[#This Row],[Team Number]]="","",IF(O32,RANK(O32,O$3:O$202,1)-COUNTIF(O$3:O$202,0),NumberOfTeams+1))</f>
        <v>9</v>
      </c>
      <c r="Q32" s="30">
        <f>_xlfn.XLOOKUP(TournamentData[[#This Row],[Team Number]],CoreValuesResults[Team Number],CoreValuesResults[Inspiration Selection],0,0,)</f>
        <v>0</v>
      </c>
      <c r="R32" s="30">
        <f>_xlfn.XLOOKUP(TournamentData[[#This Row],[Team Number]],CoreValuesResults[Team Number],CoreValuesResults[Rising All-Star Selection],0,0,)</f>
        <v>0</v>
      </c>
      <c r="S3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32" s="31"/>
      <c r="U32" s="31"/>
      <c r="V32" s="32"/>
      <c r="W32" s="91">
        <f>_xlfn.XLOOKUP(TournamentData[[#This Row],[Team Number]],CoreValuesResults[Team Number],CoreValuesResults[Core Values Score],0,0,)</f>
        <v>0</v>
      </c>
      <c r="X32" s="91">
        <f>_xlfn.XLOOKUP(TournamentData[[#This Row],[Team Number]],InnovationProjectResults[Team Number],InnovationProjectResults[Innovation Project Score],0,0,)</f>
        <v>0</v>
      </c>
      <c r="Y32" s="91">
        <f>_xlfn.XLOOKUP(TournamentData[[#This Row],[Team Number]],RobotDesignResults[Team Number],RobotDesignResults[Engineering Design Score],0,0,)</f>
        <v>0</v>
      </c>
      <c r="Z3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32" s="93">
        <f t="shared" si="0"/>
        <v>8</v>
      </c>
      <c r="AB32" s="31"/>
    </row>
    <row r="33" spans="1:28" ht="21" customHeight="1" x14ac:dyDescent="0.25">
      <c r="A33">
        <f>_xlfn.XLOOKUP(31,OfficialTeamList[Row],OfficialTeamList[Team Number],"ERROR",0)</f>
        <v>0</v>
      </c>
      <c r="B33" s="27" t="str">
        <f>_xlfn.XLOOKUP(TournamentData[[#This Row],[Team Number]],OfficialTeamList[Team Number],OfficialTeamList[Team Name],"",0,)</f>
        <v/>
      </c>
      <c r="C33" s="28">
        <f>IF(TournamentData[[#This Row],[Team Number]]="","",_xlfn.XLOOKUP(TournamentData[[#This Row],[Team Number]],RobotGameScores[Team Number],RobotGameScores[Match 1 Score],0,0,))</f>
        <v>0</v>
      </c>
      <c r="D33" s="28">
        <f>IF(TournamentData[[#This Row],[Team Number]]="","",_xlfn.XLOOKUP(TournamentData[[#This Row],[Team Number]],RobotGameScores[Team Number],RobotGameScores[Match 2 Score],0,0,))</f>
        <v>0</v>
      </c>
      <c r="E33" s="28">
        <f>IF(TournamentData[[#This Row],[Team Number]]="","",_xlfn.XLOOKUP(TournamentData[[#This Row],[Team Number]],RobotGameScores[Team Number],RobotGameScores[Match 3 Score],0,0,))</f>
        <v>0</v>
      </c>
      <c r="F33" s="28">
        <f>IF(TournamentData[[#This Row],[Team Number]]="","",_xlfn.XLOOKUP(TournamentData[[#This Row],[Team Number]],RobotGameScores[Team Number],RobotGameScores[Match 4 Score],0,0,))</f>
        <v>0</v>
      </c>
      <c r="G33" s="28">
        <f>IF(TournamentData[[#This Row],[Team Number]]="","",_xlfn.XLOOKUP(TournamentData[[#This Row],[Team Number]],RobotGameScores[Team Number],RobotGameScores[Match 5 Score],0,0,))</f>
        <v>0</v>
      </c>
      <c r="H33" s="28" t="str">
        <f>IF(TournamentData[[#This Row],[Team Name]]="","",_xlfn.XLOOKUP(TournamentData[[#This Row],[Team Name]],RobotGameScores[Team Name],RobotGameScores[Match 6 Score],0,0,))</f>
        <v/>
      </c>
      <c r="I33" s="28">
        <v>0</v>
      </c>
      <c r="J33" s="28">
        <f>SUM(TournamentData[[#This Row],[Match Score 1]:[Match Score 6]])/NumberOfRounds</f>
        <v>0</v>
      </c>
      <c r="K33" s="59">
        <f>IF(TournamentData[[#This Row],[Team Number]]="","",1+COUNTIFS($J$3:$J$201,"&gt;"&amp;J33)+COUNTIFS($J$3:$J$201,J33,$I$3:$I$201,"&gt;"&amp;I33))</f>
        <v>9</v>
      </c>
      <c r="L33" s="28">
        <f>IF(TournamentData[[#This Row],[Team Number]]="","",_xlfn.XLOOKUP(TournamentData[[#This Row],[Team Number]],CoreValuesResults[Team Number],CoreValuesResults[Core Values Rank],NumberOfTeams+1,0,))</f>
        <v>9</v>
      </c>
      <c r="M33" s="28">
        <f>IF(TournamentData[[#This Row],[Team Number]]="","",_xlfn.XLOOKUP(TournamentData[[#This Row],[Team Number]],InnovationProjectResults[Team Number],InnovationProjectResults[Innovation Project Rank],NumberOfTeams+1,0,))</f>
        <v>9</v>
      </c>
      <c r="N33" s="28">
        <f>IF(TournamentData[[#This Row],[Team Number]]="","",_xlfn.XLOOKUP(TournamentData[[#This Row],[Team Number]],RobotDesignResults[Team Number],RobotDesignResults[Engineering Design Rank],NumberOfTeams+1,0,))</f>
        <v>9</v>
      </c>
      <c r="O3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33" s="29">
        <f>IF(TournamentData[[#This Row],[Team Number]]="","",IF(O33,RANK(O33,O$3:O$202,1)-COUNTIF(O$3:O$202,0),NumberOfTeams+1))</f>
        <v>9</v>
      </c>
      <c r="Q33" s="30">
        <f>_xlfn.XLOOKUP(TournamentData[[#This Row],[Team Number]],CoreValuesResults[Team Number],CoreValuesResults[Inspiration Selection],0,0,)</f>
        <v>0</v>
      </c>
      <c r="R33" s="30">
        <f>_xlfn.XLOOKUP(TournamentData[[#This Row],[Team Number]],CoreValuesResults[Team Number],CoreValuesResults[Rising All-Star Selection],0,0,)</f>
        <v>0</v>
      </c>
      <c r="S3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33" s="31"/>
      <c r="U33" s="31"/>
      <c r="V33" s="32"/>
      <c r="W33" s="91">
        <f>_xlfn.XLOOKUP(TournamentData[[#This Row],[Team Number]],CoreValuesResults[Team Number],CoreValuesResults[Core Values Score],0,0,)</f>
        <v>0</v>
      </c>
      <c r="X33" s="91">
        <f>_xlfn.XLOOKUP(TournamentData[[#This Row],[Team Number]],InnovationProjectResults[Team Number],InnovationProjectResults[Innovation Project Score],0,0,)</f>
        <v>0</v>
      </c>
      <c r="Y33" s="91">
        <f>_xlfn.XLOOKUP(TournamentData[[#This Row],[Team Number]],RobotDesignResults[Team Number],RobotDesignResults[Engineering Design Score],0,0,)</f>
        <v>0</v>
      </c>
      <c r="Z3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33" s="93">
        <f t="shared" si="0"/>
        <v>8</v>
      </c>
      <c r="AB33" s="31"/>
    </row>
    <row r="34" spans="1:28" ht="21" customHeight="1" x14ac:dyDescent="0.25">
      <c r="A34">
        <f>_xlfn.XLOOKUP(32,OfficialTeamList[Row],OfficialTeamList[Team Number],"ERROR",0)</f>
        <v>0</v>
      </c>
      <c r="B34" s="27" t="str">
        <f>_xlfn.XLOOKUP(TournamentData[[#This Row],[Team Number]],OfficialTeamList[Team Number],OfficialTeamList[Team Name],"",0,)</f>
        <v/>
      </c>
      <c r="C34" s="28">
        <f>IF(TournamentData[[#This Row],[Team Number]]="","",_xlfn.XLOOKUP(TournamentData[[#This Row],[Team Number]],RobotGameScores[Team Number],RobotGameScores[Match 1 Score],0,0,))</f>
        <v>0</v>
      </c>
      <c r="D34" s="28">
        <f>IF(TournamentData[[#This Row],[Team Number]]="","",_xlfn.XLOOKUP(TournamentData[[#This Row],[Team Number]],RobotGameScores[Team Number],RobotGameScores[Match 2 Score],0,0,))</f>
        <v>0</v>
      </c>
      <c r="E34" s="28">
        <f>IF(TournamentData[[#This Row],[Team Number]]="","",_xlfn.XLOOKUP(TournamentData[[#This Row],[Team Number]],RobotGameScores[Team Number],RobotGameScores[Match 3 Score],0,0,))</f>
        <v>0</v>
      </c>
      <c r="F34" s="28">
        <f>IF(TournamentData[[#This Row],[Team Number]]="","",_xlfn.XLOOKUP(TournamentData[[#This Row],[Team Number]],RobotGameScores[Team Number],RobotGameScores[Match 4 Score],0,0,))</f>
        <v>0</v>
      </c>
      <c r="G34" s="28">
        <f>IF(TournamentData[[#This Row],[Team Number]]="","",_xlfn.XLOOKUP(TournamentData[[#This Row],[Team Number]],RobotGameScores[Team Number],RobotGameScores[Match 5 Score],0,0,))</f>
        <v>0</v>
      </c>
      <c r="H34" s="28" t="str">
        <f>IF(TournamentData[[#This Row],[Team Name]]="","",_xlfn.XLOOKUP(TournamentData[[#This Row],[Team Name]],RobotGameScores[Team Name],RobotGameScores[Match 6 Score],0,0,))</f>
        <v/>
      </c>
      <c r="I34" s="28">
        <v>0</v>
      </c>
      <c r="J34" s="28">
        <f>SUM(TournamentData[[#This Row],[Match Score 1]:[Match Score 6]])/NumberOfRounds</f>
        <v>0</v>
      </c>
      <c r="K34" s="60">
        <f>IF(TournamentData[[#This Row],[Team Number]]="","",1+COUNTIFS($J$3:$J$201,"&gt;"&amp;J34)+COUNTIFS($J$3:$J$201,J34,$I$3:$I$201,"&gt;"&amp;I34))</f>
        <v>9</v>
      </c>
      <c r="L34" s="28">
        <f>IF(TournamentData[[#This Row],[Team Number]]="","",_xlfn.XLOOKUP(TournamentData[[#This Row],[Team Number]],CoreValuesResults[Team Number],CoreValuesResults[Core Values Rank],NumberOfTeams+1,0,))</f>
        <v>9</v>
      </c>
      <c r="M34" s="28">
        <f>IF(TournamentData[[#This Row],[Team Number]]="","",_xlfn.XLOOKUP(TournamentData[[#This Row],[Team Number]],InnovationProjectResults[Team Number],InnovationProjectResults[Innovation Project Rank],NumberOfTeams+1,0,))</f>
        <v>9</v>
      </c>
      <c r="N34" s="28">
        <f>IF(TournamentData[[#This Row],[Team Number]]="","",_xlfn.XLOOKUP(TournamentData[[#This Row],[Team Number]],RobotDesignResults[Team Number],RobotDesignResults[Engineering Design Rank],NumberOfTeams+1,0,))</f>
        <v>9</v>
      </c>
      <c r="O3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34" s="29">
        <f>IF(TournamentData[[#This Row],[Team Number]]="","",IF(O34,RANK(O34,O$3:O$202,1)-COUNTIF(O$3:O$202,0),NumberOfTeams+1))</f>
        <v>9</v>
      </c>
      <c r="Q34" s="30">
        <f>_xlfn.XLOOKUP(TournamentData[[#This Row],[Team Number]],CoreValuesResults[Team Number],CoreValuesResults[Inspiration Selection],0,0,)</f>
        <v>0</v>
      </c>
      <c r="R34" s="30">
        <f>_xlfn.XLOOKUP(TournamentData[[#This Row],[Team Number]],CoreValuesResults[Team Number],CoreValuesResults[Rising All-Star Selection],0,0,)</f>
        <v>0</v>
      </c>
      <c r="S3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34" s="31"/>
      <c r="U34" s="31"/>
      <c r="V34" s="32"/>
      <c r="W34" s="91">
        <f>_xlfn.XLOOKUP(TournamentData[[#This Row],[Team Number]],CoreValuesResults[Team Number],CoreValuesResults[Core Values Score],0,0,)</f>
        <v>0</v>
      </c>
      <c r="X34" s="91">
        <f>_xlfn.XLOOKUP(TournamentData[[#This Row],[Team Number]],InnovationProjectResults[Team Number],InnovationProjectResults[Innovation Project Score],0,0,)</f>
        <v>0</v>
      </c>
      <c r="Y34" s="91">
        <f>_xlfn.XLOOKUP(TournamentData[[#This Row],[Team Number]],RobotDesignResults[Team Number],RobotDesignResults[Engineering Design Score],0,0,)</f>
        <v>0</v>
      </c>
      <c r="Z3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34" s="93">
        <f t="shared" si="0"/>
        <v>8</v>
      </c>
      <c r="AB34" s="31"/>
    </row>
    <row r="35" spans="1:28" ht="21" customHeight="1" x14ac:dyDescent="0.25">
      <c r="A35">
        <f>_xlfn.XLOOKUP(33,OfficialTeamList[Row],OfficialTeamList[Team Number],"ERROR",0)</f>
        <v>0</v>
      </c>
      <c r="B35" s="27" t="str">
        <f>_xlfn.XLOOKUP(TournamentData[[#This Row],[Team Number]],OfficialTeamList[Team Number],OfficialTeamList[Team Name],"",0,)</f>
        <v/>
      </c>
      <c r="C35" s="28">
        <f>IF(TournamentData[[#This Row],[Team Number]]="","",_xlfn.XLOOKUP(TournamentData[[#This Row],[Team Number]],RobotGameScores[Team Number],RobotGameScores[Match 1 Score],0,0,))</f>
        <v>0</v>
      </c>
      <c r="D35" s="28">
        <f>IF(TournamentData[[#This Row],[Team Number]]="","",_xlfn.XLOOKUP(TournamentData[[#This Row],[Team Number]],RobotGameScores[Team Number],RobotGameScores[Match 2 Score],0,0,))</f>
        <v>0</v>
      </c>
      <c r="E35" s="28">
        <f>IF(TournamentData[[#This Row],[Team Number]]="","",_xlfn.XLOOKUP(TournamentData[[#This Row],[Team Number]],RobotGameScores[Team Number],RobotGameScores[Match 3 Score],0,0,))</f>
        <v>0</v>
      </c>
      <c r="F35" s="28">
        <f>IF(TournamentData[[#This Row],[Team Number]]="","",_xlfn.XLOOKUP(TournamentData[[#This Row],[Team Number]],RobotGameScores[Team Number],RobotGameScores[Match 4 Score],0,0,))</f>
        <v>0</v>
      </c>
      <c r="G35" s="28">
        <f>IF(TournamentData[[#This Row],[Team Number]]="","",_xlfn.XLOOKUP(TournamentData[[#This Row],[Team Number]],RobotGameScores[Team Number],RobotGameScores[Match 5 Score],0,0,))</f>
        <v>0</v>
      </c>
      <c r="H35" s="28" t="str">
        <f>IF(TournamentData[[#This Row],[Team Name]]="","",_xlfn.XLOOKUP(TournamentData[[#This Row],[Team Name]],RobotGameScores[Team Name],RobotGameScores[Match 6 Score],0,0,))</f>
        <v/>
      </c>
      <c r="I35" s="28">
        <v>0</v>
      </c>
      <c r="J35" s="28">
        <f>SUM(TournamentData[[#This Row],[Match Score 1]:[Match Score 6]])/NumberOfRounds</f>
        <v>0</v>
      </c>
      <c r="K35" s="59">
        <f>IF(TournamentData[[#This Row],[Team Number]]="","",1+COUNTIFS($J$3:$J$201,"&gt;"&amp;J35)+COUNTIFS($J$3:$J$201,J35,$I$3:$I$201,"&gt;"&amp;I35))</f>
        <v>9</v>
      </c>
      <c r="L35" s="28">
        <f>IF(TournamentData[[#This Row],[Team Number]]="","",_xlfn.XLOOKUP(TournamentData[[#This Row],[Team Number]],CoreValuesResults[Team Number],CoreValuesResults[Core Values Rank],NumberOfTeams+1,0,))</f>
        <v>9</v>
      </c>
      <c r="M35" s="28">
        <f>IF(TournamentData[[#This Row],[Team Number]]="","",_xlfn.XLOOKUP(TournamentData[[#This Row],[Team Number]],InnovationProjectResults[Team Number],InnovationProjectResults[Innovation Project Rank],NumberOfTeams+1,0,))</f>
        <v>9</v>
      </c>
      <c r="N35" s="28">
        <f>IF(TournamentData[[#This Row],[Team Number]]="","",_xlfn.XLOOKUP(TournamentData[[#This Row],[Team Number]],RobotDesignResults[Team Number],RobotDesignResults[Engineering Design Rank],NumberOfTeams+1,0,))</f>
        <v>9</v>
      </c>
      <c r="O3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35" s="29">
        <f>IF(TournamentData[[#This Row],[Team Number]]="","",IF(O35,RANK(O35,O$3:O$202,1)-COUNTIF(O$3:O$202,0),NumberOfTeams+1))</f>
        <v>9</v>
      </c>
      <c r="Q35" s="30">
        <f>_xlfn.XLOOKUP(TournamentData[[#This Row],[Team Number]],CoreValuesResults[Team Number],CoreValuesResults[Inspiration Selection],0,0,)</f>
        <v>0</v>
      </c>
      <c r="R35" s="30">
        <f>_xlfn.XLOOKUP(TournamentData[[#This Row],[Team Number]],CoreValuesResults[Team Number],CoreValuesResults[Rising All-Star Selection],0,0,)</f>
        <v>0</v>
      </c>
      <c r="S3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35" s="31"/>
      <c r="U35" s="31"/>
      <c r="V35" s="32"/>
      <c r="W35" s="91">
        <f>_xlfn.XLOOKUP(TournamentData[[#This Row],[Team Number]],CoreValuesResults[Team Number],CoreValuesResults[Core Values Score],0,0,)</f>
        <v>0</v>
      </c>
      <c r="X35" s="91">
        <f>_xlfn.XLOOKUP(TournamentData[[#This Row],[Team Number]],InnovationProjectResults[Team Number],InnovationProjectResults[Innovation Project Score],0,0,)</f>
        <v>0</v>
      </c>
      <c r="Y35" s="91">
        <f>_xlfn.XLOOKUP(TournamentData[[#This Row],[Team Number]],RobotDesignResults[Team Number],RobotDesignResults[Engineering Design Score],0,0,)</f>
        <v>0</v>
      </c>
      <c r="Z3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35" s="93">
        <f t="shared" ref="AA35:AA66" si="1">IF(Z35,_xlfn.RANK.EQ(Z35,Z$3:Z$110,0),NumberOfTeams)</f>
        <v>8</v>
      </c>
      <c r="AB35" s="31"/>
    </row>
    <row r="36" spans="1:28" ht="21" customHeight="1" x14ac:dyDescent="0.25">
      <c r="A36">
        <f>_xlfn.XLOOKUP(34,OfficialTeamList[Row],OfficialTeamList[Team Number],"ERROR",0)</f>
        <v>0</v>
      </c>
      <c r="B36" s="27" t="str">
        <f>_xlfn.XLOOKUP(TournamentData[[#This Row],[Team Number]],OfficialTeamList[Team Number],OfficialTeamList[Team Name],"",0,)</f>
        <v/>
      </c>
      <c r="C36" s="28">
        <f>IF(TournamentData[[#This Row],[Team Number]]="","",_xlfn.XLOOKUP(TournamentData[[#This Row],[Team Number]],RobotGameScores[Team Number],RobotGameScores[Match 1 Score],0,0,))</f>
        <v>0</v>
      </c>
      <c r="D36" s="28">
        <f>IF(TournamentData[[#This Row],[Team Number]]="","",_xlfn.XLOOKUP(TournamentData[[#This Row],[Team Number]],RobotGameScores[Team Number],RobotGameScores[Match 2 Score],0,0,))</f>
        <v>0</v>
      </c>
      <c r="E36" s="28">
        <f>IF(TournamentData[[#This Row],[Team Number]]="","",_xlfn.XLOOKUP(TournamentData[[#This Row],[Team Number]],RobotGameScores[Team Number],RobotGameScores[Match 3 Score],0,0,))</f>
        <v>0</v>
      </c>
      <c r="F36" s="28">
        <f>IF(TournamentData[[#This Row],[Team Number]]="","",_xlfn.XLOOKUP(TournamentData[[#This Row],[Team Number]],RobotGameScores[Team Number],RobotGameScores[Match 4 Score],0,0,))</f>
        <v>0</v>
      </c>
      <c r="G36" s="28">
        <f>IF(TournamentData[[#This Row],[Team Number]]="","",_xlfn.XLOOKUP(TournamentData[[#This Row],[Team Number]],RobotGameScores[Team Number],RobotGameScores[Match 5 Score],0,0,))</f>
        <v>0</v>
      </c>
      <c r="H36" s="28" t="str">
        <f>IF(TournamentData[[#This Row],[Team Name]]="","",_xlfn.XLOOKUP(TournamentData[[#This Row],[Team Name]],RobotGameScores[Team Name],RobotGameScores[Match 6 Score],0,0,))</f>
        <v/>
      </c>
      <c r="I36" s="28">
        <v>0</v>
      </c>
      <c r="J36" s="28">
        <f>SUM(TournamentData[[#This Row],[Match Score 1]:[Match Score 6]])/NumberOfRounds</f>
        <v>0</v>
      </c>
      <c r="K36" s="60">
        <f>IF(TournamentData[[#This Row],[Team Number]]="","",1+COUNTIFS($J$3:$J$201,"&gt;"&amp;J36)+COUNTIFS($J$3:$J$201,J36,$I$3:$I$201,"&gt;"&amp;I36))</f>
        <v>9</v>
      </c>
      <c r="L36" s="28">
        <f>IF(TournamentData[[#This Row],[Team Number]]="","",_xlfn.XLOOKUP(TournamentData[[#This Row],[Team Number]],CoreValuesResults[Team Number],CoreValuesResults[Core Values Rank],NumberOfTeams+1,0,))</f>
        <v>9</v>
      </c>
      <c r="M36" s="28">
        <f>IF(TournamentData[[#This Row],[Team Number]]="","",_xlfn.XLOOKUP(TournamentData[[#This Row],[Team Number]],InnovationProjectResults[Team Number],InnovationProjectResults[Innovation Project Rank],NumberOfTeams+1,0,))</f>
        <v>9</v>
      </c>
      <c r="N36" s="28">
        <f>IF(TournamentData[[#This Row],[Team Number]]="","",_xlfn.XLOOKUP(TournamentData[[#This Row],[Team Number]],RobotDesignResults[Team Number],RobotDesignResults[Engineering Design Rank],NumberOfTeams+1,0,))</f>
        <v>9</v>
      </c>
      <c r="O3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36" s="29">
        <f>IF(TournamentData[[#This Row],[Team Number]]="","",IF(O36,RANK(O36,O$3:O$202,1)-COUNTIF(O$3:O$202,0),NumberOfTeams+1))</f>
        <v>9</v>
      </c>
      <c r="Q36" s="30">
        <f>_xlfn.XLOOKUP(TournamentData[[#This Row],[Team Number]],CoreValuesResults[Team Number],CoreValuesResults[Inspiration Selection],0,0,)</f>
        <v>0</v>
      </c>
      <c r="R36" s="33">
        <f>_xlfn.XLOOKUP(TournamentData[[#This Row],[Team Number]],CoreValuesResults[Team Number],CoreValuesResults[Rising All-Star Selection],0,0,)</f>
        <v>0</v>
      </c>
      <c r="S3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36" s="31"/>
      <c r="U36" s="31"/>
      <c r="V36" s="32"/>
      <c r="W36" s="91">
        <f>_xlfn.XLOOKUP(TournamentData[[#This Row],[Team Number]],CoreValuesResults[Team Number],CoreValuesResults[Core Values Score],0,0,)</f>
        <v>0</v>
      </c>
      <c r="X36" s="91">
        <f>_xlfn.XLOOKUP(TournamentData[[#This Row],[Team Number]],InnovationProjectResults[Team Number],InnovationProjectResults[Innovation Project Score],0,0,)</f>
        <v>0</v>
      </c>
      <c r="Y36" s="91">
        <f>_xlfn.XLOOKUP(TournamentData[[#This Row],[Team Number]],RobotDesignResults[Team Number],RobotDesignResults[Engineering Design Score],0,0,)</f>
        <v>0</v>
      </c>
      <c r="Z3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36" s="93">
        <f t="shared" si="1"/>
        <v>8</v>
      </c>
      <c r="AB36" s="31"/>
    </row>
    <row r="37" spans="1:28" ht="21" customHeight="1" x14ac:dyDescent="0.25">
      <c r="A37">
        <f>_xlfn.XLOOKUP(35,OfficialTeamList[Row],OfficialTeamList[Team Number],"ERROR",0)</f>
        <v>0</v>
      </c>
      <c r="B37" s="27" t="str">
        <f>_xlfn.XLOOKUP(TournamentData[[#This Row],[Team Number]],OfficialTeamList[Team Number],OfficialTeamList[Team Name],"",0,)</f>
        <v/>
      </c>
      <c r="C37" s="28">
        <f>IF(TournamentData[[#This Row],[Team Number]]="","",_xlfn.XLOOKUP(TournamentData[[#This Row],[Team Number]],RobotGameScores[Team Number],RobotGameScores[Match 1 Score],0,0,))</f>
        <v>0</v>
      </c>
      <c r="D37" s="28">
        <f>IF(TournamentData[[#This Row],[Team Number]]="","",_xlfn.XLOOKUP(TournamentData[[#This Row],[Team Number]],RobotGameScores[Team Number],RobotGameScores[Match 2 Score],0,0,))</f>
        <v>0</v>
      </c>
      <c r="E37" s="28">
        <f>IF(TournamentData[[#This Row],[Team Number]]="","",_xlfn.XLOOKUP(TournamentData[[#This Row],[Team Number]],RobotGameScores[Team Number],RobotGameScores[Match 3 Score],0,0,))</f>
        <v>0</v>
      </c>
      <c r="F37" s="28">
        <f>IF(TournamentData[[#This Row],[Team Number]]="","",_xlfn.XLOOKUP(TournamentData[[#This Row],[Team Number]],RobotGameScores[Team Number],RobotGameScores[Match 4 Score],0,0,))</f>
        <v>0</v>
      </c>
      <c r="G37" s="28">
        <f>IF(TournamentData[[#This Row],[Team Number]]="","",_xlfn.XLOOKUP(TournamentData[[#This Row],[Team Number]],RobotGameScores[Team Number],RobotGameScores[Match 5 Score],0,0,))</f>
        <v>0</v>
      </c>
      <c r="H37" s="28" t="str">
        <f>IF(TournamentData[[#This Row],[Team Name]]="","",_xlfn.XLOOKUP(TournamentData[[#This Row],[Team Name]],RobotGameScores[Team Name],RobotGameScores[Match 6 Score],0,0,))</f>
        <v/>
      </c>
      <c r="I37" s="28">
        <v>0</v>
      </c>
      <c r="J37" s="28">
        <f>SUM(TournamentData[[#This Row],[Match Score 1]:[Match Score 6]])/NumberOfRounds</f>
        <v>0</v>
      </c>
      <c r="K37" s="59">
        <f>IF(TournamentData[[#This Row],[Team Number]]="","",1+COUNTIFS($J$3:$J$201,"&gt;"&amp;J37)+COUNTIFS($J$3:$J$201,J37,$I$3:$I$201,"&gt;"&amp;I37))</f>
        <v>9</v>
      </c>
      <c r="L37" s="28">
        <f>IF(TournamentData[[#This Row],[Team Number]]="","",_xlfn.XLOOKUP(TournamentData[[#This Row],[Team Number]],CoreValuesResults[Team Number],CoreValuesResults[Core Values Rank],NumberOfTeams+1,0,))</f>
        <v>9</v>
      </c>
      <c r="M37" s="28">
        <f>IF(TournamentData[[#This Row],[Team Number]]="","",_xlfn.XLOOKUP(TournamentData[[#This Row],[Team Number]],InnovationProjectResults[Team Number],InnovationProjectResults[Innovation Project Rank],NumberOfTeams+1,0,))</f>
        <v>9</v>
      </c>
      <c r="N37" s="28">
        <f>IF(TournamentData[[#This Row],[Team Number]]="","",_xlfn.XLOOKUP(TournamentData[[#This Row],[Team Number]],RobotDesignResults[Team Number],RobotDesignResults[Engineering Design Rank],NumberOfTeams+1,0,))</f>
        <v>9</v>
      </c>
      <c r="O3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37" s="29">
        <f>IF(TournamentData[[#This Row],[Team Number]]="","",IF(O37,RANK(O37,O$3:O$202,1)-COUNTIF(O$3:O$202,0),NumberOfTeams+1))</f>
        <v>9</v>
      </c>
      <c r="Q37" s="30">
        <f>_xlfn.XLOOKUP(TournamentData[[#This Row],[Team Number]],CoreValuesResults[Team Number],CoreValuesResults[Inspiration Selection],0,0,)</f>
        <v>0</v>
      </c>
      <c r="R37" s="30">
        <f>_xlfn.XLOOKUP(TournamentData[[#This Row],[Team Number]],CoreValuesResults[Team Number],CoreValuesResults[Rising All-Star Selection],0,0,)</f>
        <v>0</v>
      </c>
      <c r="S3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37" s="31"/>
      <c r="U37" s="31"/>
      <c r="V37" s="32"/>
      <c r="W37" s="91">
        <f>_xlfn.XLOOKUP(TournamentData[[#This Row],[Team Number]],CoreValuesResults[Team Number],CoreValuesResults[Core Values Score],0,0,)</f>
        <v>0</v>
      </c>
      <c r="X37" s="91">
        <f>_xlfn.XLOOKUP(TournamentData[[#This Row],[Team Number]],InnovationProjectResults[Team Number],InnovationProjectResults[Innovation Project Score],0,0,)</f>
        <v>0</v>
      </c>
      <c r="Y37" s="91">
        <f>_xlfn.XLOOKUP(TournamentData[[#This Row],[Team Number]],RobotDesignResults[Team Number],RobotDesignResults[Engineering Design Score],0,0,)</f>
        <v>0</v>
      </c>
      <c r="Z3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37" s="93">
        <f t="shared" si="1"/>
        <v>8</v>
      </c>
      <c r="AB37" s="31"/>
    </row>
    <row r="38" spans="1:28" ht="21" customHeight="1" x14ac:dyDescent="0.25">
      <c r="A38">
        <f>_xlfn.XLOOKUP(36,OfficialTeamList[Row],OfficialTeamList[Team Number],"ERROR",0)</f>
        <v>0</v>
      </c>
      <c r="B38" s="27" t="str">
        <f>_xlfn.XLOOKUP(TournamentData[[#This Row],[Team Number]],OfficialTeamList[Team Number],OfficialTeamList[Team Name],"",0,)</f>
        <v/>
      </c>
      <c r="C38" s="28">
        <f>IF(TournamentData[[#This Row],[Team Number]]="","",_xlfn.XLOOKUP(TournamentData[[#This Row],[Team Number]],RobotGameScores[Team Number],RobotGameScores[Match 1 Score],0,0,))</f>
        <v>0</v>
      </c>
      <c r="D38" s="28">
        <f>IF(TournamentData[[#This Row],[Team Number]]="","",_xlfn.XLOOKUP(TournamentData[[#This Row],[Team Number]],RobotGameScores[Team Number],RobotGameScores[Match 2 Score],0,0,))</f>
        <v>0</v>
      </c>
      <c r="E38" s="28">
        <f>IF(TournamentData[[#This Row],[Team Number]]="","",_xlfn.XLOOKUP(TournamentData[[#This Row],[Team Number]],RobotGameScores[Team Number],RobotGameScores[Match 3 Score],0,0,))</f>
        <v>0</v>
      </c>
      <c r="F38" s="28">
        <f>IF(TournamentData[[#This Row],[Team Number]]="","",_xlfn.XLOOKUP(TournamentData[[#This Row],[Team Number]],RobotGameScores[Team Number],RobotGameScores[Match 4 Score],0,0,))</f>
        <v>0</v>
      </c>
      <c r="G38" s="28">
        <f>IF(TournamentData[[#This Row],[Team Number]]="","",_xlfn.XLOOKUP(TournamentData[[#This Row],[Team Number]],RobotGameScores[Team Number],RobotGameScores[Match 5 Score],0,0,))</f>
        <v>0</v>
      </c>
      <c r="H38" s="28" t="str">
        <f>IF(TournamentData[[#This Row],[Team Name]]="","",_xlfn.XLOOKUP(TournamentData[[#This Row],[Team Name]],RobotGameScores[Team Name],RobotGameScores[Match 6 Score],0,0,))</f>
        <v/>
      </c>
      <c r="I38" s="28">
        <v>0</v>
      </c>
      <c r="J38" s="28">
        <f>SUM(TournamentData[[#This Row],[Match Score 1]:[Match Score 6]])/NumberOfRounds</f>
        <v>0</v>
      </c>
      <c r="K38" s="60">
        <f>IF(TournamentData[[#This Row],[Team Number]]="","",1+COUNTIFS($J$3:$J$201,"&gt;"&amp;J38)+COUNTIFS($J$3:$J$201,J38,$I$3:$I$201,"&gt;"&amp;I38))</f>
        <v>9</v>
      </c>
      <c r="L38" s="28">
        <f>IF(TournamentData[[#This Row],[Team Number]]="","",_xlfn.XLOOKUP(TournamentData[[#This Row],[Team Number]],CoreValuesResults[Team Number],CoreValuesResults[Core Values Rank],NumberOfTeams+1,0,))</f>
        <v>9</v>
      </c>
      <c r="M38" s="28">
        <f>IF(TournamentData[[#This Row],[Team Number]]="","",_xlfn.XLOOKUP(TournamentData[[#This Row],[Team Number]],InnovationProjectResults[Team Number],InnovationProjectResults[Innovation Project Rank],NumberOfTeams+1,0,))</f>
        <v>9</v>
      </c>
      <c r="N38" s="28">
        <f>IF(TournamentData[[#This Row],[Team Number]]="","",_xlfn.XLOOKUP(TournamentData[[#This Row],[Team Number]],RobotDesignResults[Team Number],RobotDesignResults[Engineering Design Rank],NumberOfTeams+1,0,))</f>
        <v>9</v>
      </c>
      <c r="O3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38" s="29">
        <f>IF(TournamentData[[#This Row],[Team Number]]="","",IF(O38,RANK(O38,O$3:O$202,1)-COUNTIF(O$3:O$202,0),NumberOfTeams+1))</f>
        <v>9</v>
      </c>
      <c r="Q38" s="30">
        <f>_xlfn.XLOOKUP(TournamentData[[#This Row],[Team Number]],CoreValuesResults[Team Number],CoreValuesResults[Inspiration Selection],0,0,)</f>
        <v>0</v>
      </c>
      <c r="R38" s="30">
        <f>_xlfn.XLOOKUP(TournamentData[[#This Row],[Team Number]],CoreValuesResults[Team Number],CoreValuesResults[Rising All-Star Selection],0,0,)</f>
        <v>0</v>
      </c>
      <c r="S3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38" s="31"/>
      <c r="U38" s="31"/>
      <c r="V38" s="32"/>
      <c r="W38" s="91">
        <f>_xlfn.XLOOKUP(TournamentData[[#This Row],[Team Number]],CoreValuesResults[Team Number],CoreValuesResults[Core Values Score],0,0,)</f>
        <v>0</v>
      </c>
      <c r="X38" s="91">
        <f>_xlfn.XLOOKUP(TournamentData[[#This Row],[Team Number]],InnovationProjectResults[Team Number],InnovationProjectResults[Innovation Project Score],0,0,)</f>
        <v>0</v>
      </c>
      <c r="Y38" s="91">
        <f>_xlfn.XLOOKUP(TournamentData[[#This Row],[Team Number]],RobotDesignResults[Team Number],RobotDesignResults[Engineering Design Score],0,0,)</f>
        <v>0</v>
      </c>
      <c r="Z3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38" s="93">
        <f t="shared" si="1"/>
        <v>8</v>
      </c>
      <c r="AB38" s="31"/>
    </row>
    <row r="39" spans="1:28" ht="21" customHeight="1" x14ac:dyDescent="0.25">
      <c r="A39">
        <f>_xlfn.XLOOKUP(37,OfficialTeamList[Row],OfficialTeamList[Team Number],"ERROR",0)</f>
        <v>0</v>
      </c>
      <c r="B39" s="27" t="str">
        <f>_xlfn.XLOOKUP(TournamentData[[#This Row],[Team Number]],OfficialTeamList[Team Number],OfficialTeamList[Team Name],"",0,)</f>
        <v/>
      </c>
      <c r="C39" s="28">
        <f>IF(TournamentData[[#This Row],[Team Number]]="","",_xlfn.XLOOKUP(TournamentData[[#This Row],[Team Number]],RobotGameScores[Team Number],RobotGameScores[Match 1 Score],0,0,))</f>
        <v>0</v>
      </c>
      <c r="D39" s="28">
        <f>IF(TournamentData[[#This Row],[Team Number]]="","",_xlfn.XLOOKUP(TournamentData[[#This Row],[Team Number]],RobotGameScores[Team Number],RobotGameScores[Match 2 Score],0,0,))</f>
        <v>0</v>
      </c>
      <c r="E39" s="28">
        <f>IF(TournamentData[[#This Row],[Team Number]]="","",_xlfn.XLOOKUP(TournamentData[[#This Row],[Team Number]],RobotGameScores[Team Number],RobotGameScores[Match 3 Score],0,0,))</f>
        <v>0</v>
      </c>
      <c r="F39" s="28">
        <f>IF(TournamentData[[#This Row],[Team Number]]="","",_xlfn.XLOOKUP(TournamentData[[#This Row],[Team Number]],RobotGameScores[Team Number],RobotGameScores[Match 4 Score],0,0,))</f>
        <v>0</v>
      </c>
      <c r="G39" s="28">
        <f>IF(TournamentData[[#This Row],[Team Number]]="","",_xlfn.XLOOKUP(TournamentData[[#This Row],[Team Number]],RobotGameScores[Team Number],RobotGameScores[Match 5 Score],0,0,))</f>
        <v>0</v>
      </c>
      <c r="H39" s="28" t="str">
        <f>IF(TournamentData[[#This Row],[Team Name]]="","",_xlfn.XLOOKUP(TournamentData[[#This Row],[Team Name]],RobotGameScores[Team Name],RobotGameScores[Match 6 Score],0,0,))</f>
        <v/>
      </c>
      <c r="I39" s="28">
        <v>0</v>
      </c>
      <c r="J39" s="28">
        <f>SUM(TournamentData[[#This Row],[Match Score 1]:[Match Score 6]])/NumberOfRounds</f>
        <v>0</v>
      </c>
      <c r="K39" s="59">
        <f>IF(TournamentData[[#This Row],[Team Number]]="","",1+COUNTIFS($J$3:$J$201,"&gt;"&amp;J39)+COUNTIFS($J$3:$J$201,J39,$I$3:$I$201,"&gt;"&amp;I39))</f>
        <v>9</v>
      </c>
      <c r="L39" s="28">
        <f>IF(TournamentData[[#This Row],[Team Number]]="","",_xlfn.XLOOKUP(TournamentData[[#This Row],[Team Number]],CoreValuesResults[Team Number],CoreValuesResults[Core Values Rank],NumberOfTeams+1,0,))</f>
        <v>9</v>
      </c>
      <c r="M39" s="28">
        <f>IF(TournamentData[[#This Row],[Team Number]]="","",_xlfn.XLOOKUP(TournamentData[[#This Row],[Team Number]],InnovationProjectResults[Team Number],InnovationProjectResults[Innovation Project Rank],NumberOfTeams+1,0,))</f>
        <v>9</v>
      </c>
      <c r="N39" s="28">
        <f>IF(TournamentData[[#This Row],[Team Number]]="","",_xlfn.XLOOKUP(TournamentData[[#This Row],[Team Number]],RobotDesignResults[Team Number],RobotDesignResults[Engineering Design Rank],NumberOfTeams+1,0,))</f>
        <v>9</v>
      </c>
      <c r="O3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39" s="29">
        <f>IF(TournamentData[[#This Row],[Team Number]]="","",IF(O39,RANK(O39,O$3:O$202,1)-COUNTIF(O$3:O$202,0),NumberOfTeams+1))</f>
        <v>9</v>
      </c>
      <c r="Q39" s="30">
        <f>_xlfn.XLOOKUP(TournamentData[[#This Row],[Team Number]],CoreValuesResults[Team Number],CoreValuesResults[Inspiration Selection],0,0,)</f>
        <v>0</v>
      </c>
      <c r="R39" s="30">
        <f>_xlfn.XLOOKUP(TournamentData[[#This Row],[Team Number]],CoreValuesResults[Team Number],CoreValuesResults[Rising All-Star Selection],0,0,)</f>
        <v>0</v>
      </c>
      <c r="S3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39" s="31"/>
      <c r="U39" s="31"/>
      <c r="V39" s="32"/>
      <c r="W39" s="91">
        <f>_xlfn.XLOOKUP(TournamentData[[#This Row],[Team Number]],CoreValuesResults[Team Number],CoreValuesResults[Core Values Score],0,0,)</f>
        <v>0</v>
      </c>
      <c r="X39" s="91">
        <f>_xlfn.XLOOKUP(TournamentData[[#This Row],[Team Number]],InnovationProjectResults[Team Number],InnovationProjectResults[Innovation Project Score],0,0,)</f>
        <v>0</v>
      </c>
      <c r="Y39" s="91">
        <f>_xlfn.XLOOKUP(TournamentData[[#This Row],[Team Number]],RobotDesignResults[Team Number],RobotDesignResults[Engineering Design Score],0,0,)</f>
        <v>0</v>
      </c>
      <c r="Z3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39" s="93">
        <f t="shared" si="1"/>
        <v>8</v>
      </c>
      <c r="AB39" s="31"/>
    </row>
    <row r="40" spans="1:28" ht="21" customHeight="1" x14ac:dyDescent="0.25">
      <c r="A40">
        <f>_xlfn.XLOOKUP(38,OfficialTeamList[Row],OfficialTeamList[Team Number],"ERROR",0)</f>
        <v>0</v>
      </c>
      <c r="B40" s="27" t="str">
        <f>_xlfn.XLOOKUP(TournamentData[[#This Row],[Team Number]],OfficialTeamList[Team Number],OfficialTeamList[Team Name],"",0,)</f>
        <v/>
      </c>
      <c r="C40" s="28">
        <f>IF(TournamentData[[#This Row],[Team Number]]="","",_xlfn.XLOOKUP(TournamentData[[#This Row],[Team Number]],RobotGameScores[Team Number],RobotGameScores[Match 1 Score],0,0,))</f>
        <v>0</v>
      </c>
      <c r="D40" s="28">
        <f>IF(TournamentData[[#This Row],[Team Number]]="","",_xlfn.XLOOKUP(TournamentData[[#This Row],[Team Number]],RobotGameScores[Team Number],RobotGameScores[Match 2 Score],0,0,))</f>
        <v>0</v>
      </c>
      <c r="E40" s="28">
        <f>IF(TournamentData[[#This Row],[Team Number]]="","",_xlfn.XLOOKUP(TournamentData[[#This Row],[Team Number]],RobotGameScores[Team Number],RobotGameScores[Match 3 Score],0,0,))</f>
        <v>0</v>
      </c>
      <c r="F40" s="28">
        <f>IF(TournamentData[[#This Row],[Team Number]]="","",_xlfn.XLOOKUP(TournamentData[[#This Row],[Team Number]],RobotGameScores[Team Number],RobotGameScores[Match 4 Score],0,0,))</f>
        <v>0</v>
      </c>
      <c r="G40" s="28">
        <f>IF(TournamentData[[#This Row],[Team Number]]="","",_xlfn.XLOOKUP(TournamentData[[#This Row],[Team Number]],RobotGameScores[Team Number],RobotGameScores[Match 5 Score],0,0,))</f>
        <v>0</v>
      </c>
      <c r="H40" s="28" t="str">
        <f>IF(TournamentData[[#This Row],[Team Name]]="","",_xlfn.XLOOKUP(TournamentData[[#This Row],[Team Name]],RobotGameScores[Team Name],RobotGameScores[Match 6 Score],0,0,))</f>
        <v/>
      </c>
      <c r="I40" s="28">
        <v>0</v>
      </c>
      <c r="J40" s="28">
        <f>SUM(TournamentData[[#This Row],[Match Score 1]:[Match Score 6]])/NumberOfRounds</f>
        <v>0</v>
      </c>
      <c r="K40" s="60">
        <f>IF(TournamentData[[#This Row],[Team Number]]="","",1+COUNTIFS($J$3:$J$201,"&gt;"&amp;J40)+COUNTIFS($J$3:$J$201,J40,$I$3:$I$201,"&gt;"&amp;I40))</f>
        <v>9</v>
      </c>
      <c r="L40" s="28">
        <f>IF(TournamentData[[#This Row],[Team Number]]="","",_xlfn.XLOOKUP(TournamentData[[#This Row],[Team Number]],CoreValuesResults[Team Number],CoreValuesResults[Core Values Rank],NumberOfTeams+1,0,))</f>
        <v>9</v>
      </c>
      <c r="M40" s="28">
        <f>IF(TournamentData[[#This Row],[Team Number]]="","",_xlfn.XLOOKUP(TournamentData[[#This Row],[Team Number]],InnovationProjectResults[Team Number],InnovationProjectResults[Innovation Project Rank],NumberOfTeams+1,0,))</f>
        <v>9</v>
      </c>
      <c r="N40" s="28">
        <f>IF(TournamentData[[#This Row],[Team Number]]="","",_xlfn.XLOOKUP(TournamentData[[#This Row],[Team Number]],RobotDesignResults[Team Number],RobotDesignResults[Engineering Design Rank],NumberOfTeams+1,0,))</f>
        <v>9</v>
      </c>
      <c r="O4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40" s="29">
        <f>IF(TournamentData[[#This Row],[Team Number]]="","",IF(O40,RANK(O40,O$3:O$202,1)-COUNTIF(O$3:O$202,0),NumberOfTeams+1))</f>
        <v>9</v>
      </c>
      <c r="Q40" s="30">
        <f>_xlfn.XLOOKUP(TournamentData[[#This Row],[Team Number]],CoreValuesResults[Team Number],CoreValuesResults[Inspiration Selection],0,0,)</f>
        <v>0</v>
      </c>
      <c r="R40" s="30">
        <f>_xlfn.XLOOKUP(TournamentData[[#This Row],[Team Number]],CoreValuesResults[Team Number],CoreValuesResults[Rising All-Star Selection],0,0,)</f>
        <v>0</v>
      </c>
      <c r="S4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40" s="31"/>
      <c r="U40" s="31"/>
      <c r="V40" s="32"/>
      <c r="W40" s="91">
        <f>_xlfn.XLOOKUP(TournamentData[[#This Row],[Team Number]],CoreValuesResults[Team Number],CoreValuesResults[Core Values Score],0,0,)</f>
        <v>0</v>
      </c>
      <c r="X40" s="91">
        <f>_xlfn.XLOOKUP(TournamentData[[#This Row],[Team Number]],InnovationProjectResults[Team Number],InnovationProjectResults[Innovation Project Score],0,0,)</f>
        <v>0</v>
      </c>
      <c r="Y40" s="91">
        <f>_xlfn.XLOOKUP(TournamentData[[#This Row],[Team Number]],RobotDesignResults[Team Number],RobotDesignResults[Engineering Design Score],0,0,)</f>
        <v>0</v>
      </c>
      <c r="Z4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40" s="93">
        <f t="shared" si="1"/>
        <v>8</v>
      </c>
      <c r="AB40" s="31"/>
    </row>
    <row r="41" spans="1:28" ht="21" customHeight="1" x14ac:dyDescent="0.25">
      <c r="A41">
        <f>_xlfn.XLOOKUP(39,OfficialTeamList[Row],OfficialTeamList[Team Number],"ERROR",0)</f>
        <v>0</v>
      </c>
      <c r="B41" s="27" t="str">
        <f>_xlfn.XLOOKUP(TournamentData[[#This Row],[Team Number]],OfficialTeamList[Team Number],OfficialTeamList[Team Name],"",0,)</f>
        <v/>
      </c>
      <c r="C41" s="28">
        <f>IF(TournamentData[[#This Row],[Team Number]]="","",_xlfn.XLOOKUP(TournamentData[[#This Row],[Team Number]],RobotGameScores[Team Number],RobotGameScores[Match 1 Score],0,0,))</f>
        <v>0</v>
      </c>
      <c r="D41" s="28">
        <f>IF(TournamentData[[#This Row],[Team Number]]="","",_xlfn.XLOOKUP(TournamentData[[#This Row],[Team Number]],RobotGameScores[Team Number],RobotGameScores[Match 2 Score],0,0,))</f>
        <v>0</v>
      </c>
      <c r="E41" s="28">
        <f>IF(TournamentData[[#This Row],[Team Number]]="","",_xlfn.XLOOKUP(TournamentData[[#This Row],[Team Number]],RobotGameScores[Team Number],RobotGameScores[Match 3 Score],0,0,))</f>
        <v>0</v>
      </c>
      <c r="F41" s="28">
        <f>IF(TournamentData[[#This Row],[Team Number]]="","",_xlfn.XLOOKUP(TournamentData[[#This Row],[Team Number]],RobotGameScores[Team Number],RobotGameScores[Match 4 Score],0,0,))</f>
        <v>0</v>
      </c>
      <c r="G41" s="28">
        <f>IF(TournamentData[[#This Row],[Team Number]]="","",_xlfn.XLOOKUP(TournamentData[[#This Row],[Team Number]],RobotGameScores[Team Number],RobotGameScores[Match 5 Score],0,0,))</f>
        <v>0</v>
      </c>
      <c r="H41" s="28" t="str">
        <f>IF(TournamentData[[#This Row],[Team Name]]="","",_xlfn.XLOOKUP(TournamentData[[#This Row],[Team Name]],RobotGameScores[Team Name],RobotGameScores[Match 6 Score],0,0,))</f>
        <v/>
      </c>
      <c r="I41" s="28">
        <v>0</v>
      </c>
      <c r="J41" s="28">
        <f>SUM(TournamentData[[#This Row],[Match Score 1]:[Match Score 6]])/NumberOfRounds</f>
        <v>0</v>
      </c>
      <c r="K41" s="59">
        <f>IF(TournamentData[[#This Row],[Team Number]]="","",1+COUNTIFS($J$3:$J$201,"&gt;"&amp;J41)+COUNTIFS($J$3:$J$201,J41,$I$3:$I$201,"&gt;"&amp;I41))</f>
        <v>9</v>
      </c>
      <c r="L41" s="28">
        <f>IF(TournamentData[[#This Row],[Team Number]]="","",_xlfn.XLOOKUP(TournamentData[[#This Row],[Team Number]],CoreValuesResults[Team Number],CoreValuesResults[Core Values Rank],NumberOfTeams+1,0,))</f>
        <v>9</v>
      </c>
      <c r="M41" s="28">
        <f>IF(TournamentData[[#This Row],[Team Number]]="","",_xlfn.XLOOKUP(TournamentData[[#This Row],[Team Number]],InnovationProjectResults[Team Number],InnovationProjectResults[Innovation Project Rank],NumberOfTeams+1,0,))</f>
        <v>9</v>
      </c>
      <c r="N41" s="28">
        <f>IF(TournamentData[[#This Row],[Team Number]]="","",_xlfn.XLOOKUP(TournamentData[[#This Row],[Team Number]],RobotDesignResults[Team Number],RobotDesignResults[Engineering Design Rank],NumberOfTeams+1,0,))</f>
        <v>9</v>
      </c>
      <c r="O4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41" s="29">
        <f>IF(TournamentData[[#This Row],[Team Number]]="","",IF(O41,RANK(O41,O$3:O$202,1)-COUNTIF(O$3:O$202,0),NumberOfTeams+1))</f>
        <v>9</v>
      </c>
      <c r="Q41" s="30">
        <f>_xlfn.XLOOKUP(TournamentData[[#This Row],[Team Number]],CoreValuesResults[Team Number],CoreValuesResults[Inspiration Selection],0,0,)</f>
        <v>0</v>
      </c>
      <c r="R41" s="30">
        <f>_xlfn.XLOOKUP(TournamentData[[#This Row],[Team Number]],CoreValuesResults[Team Number],CoreValuesResults[Rising All-Star Selection],0,0,)</f>
        <v>0</v>
      </c>
      <c r="S4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41" s="31"/>
      <c r="U41" s="31"/>
      <c r="V41" s="32"/>
      <c r="W41" s="91">
        <f>_xlfn.XLOOKUP(TournamentData[[#This Row],[Team Number]],CoreValuesResults[Team Number],CoreValuesResults[Core Values Score],0,0,)</f>
        <v>0</v>
      </c>
      <c r="X41" s="91">
        <f>_xlfn.XLOOKUP(TournamentData[[#This Row],[Team Number]],InnovationProjectResults[Team Number],InnovationProjectResults[Innovation Project Score],0,0,)</f>
        <v>0</v>
      </c>
      <c r="Y41" s="91">
        <f>_xlfn.XLOOKUP(TournamentData[[#This Row],[Team Number]],RobotDesignResults[Team Number],RobotDesignResults[Engineering Design Score],0,0,)</f>
        <v>0</v>
      </c>
      <c r="Z4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41" s="93">
        <f t="shared" si="1"/>
        <v>8</v>
      </c>
      <c r="AB41" s="31"/>
    </row>
    <row r="42" spans="1:28" ht="21" customHeight="1" x14ac:dyDescent="0.25">
      <c r="A42">
        <f>_xlfn.XLOOKUP(40,OfficialTeamList[Row],OfficialTeamList[Team Number],"ERROR",0)</f>
        <v>0</v>
      </c>
      <c r="B42" s="27" t="str">
        <f>_xlfn.XLOOKUP(TournamentData[[#This Row],[Team Number]],OfficialTeamList[Team Number],OfficialTeamList[Team Name],"",0,)</f>
        <v/>
      </c>
      <c r="C42" s="28">
        <f>IF(TournamentData[[#This Row],[Team Number]]="","",_xlfn.XLOOKUP(TournamentData[[#This Row],[Team Number]],RobotGameScores[Team Number],RobotGameScores[Match 1 Score],0,0,))</f>
        <v>0</v>
      </c>
      <c r="D42" s="28">
        <f>IF(TournamentData[[#This Row],[Team Number]]="","",_xlfn.XLOOKUP(TournamentData[[#This Row],[Team Number]],RobotGameScores[Team Number],RobotGameScores[Match 2 Score],0,0,))</f>
        <v>0</v>
      </c>
      <c r="E42" s="28">
        <f>IF(TournamentData[[#This Row],[Team Number]]="","",_xlfn.XLOOKUP(TournamentData[[#This Row],[Team Number]],RobotGameScores[Team Number],RobotGameScores[Match 3 Score],0,0,))</f>
        <v>0</v>
      </c>
      <c r="F42" s="28">
        <f>IF(TournamentData[[#This Row],[Team Number]]="","",_xlfn.XLOOKUP(TournamentData[[#This Row],[Team Number]],RobotGameScores[Team Number],RobotGameScores[Match 4 Score],0,0,))</f>
        <v>0</v>
      </c>
      <c r="G42" s="28">
        <f>IF(TournamentData[[#This Row],[Team Number]]="","",_xlfn.XLOOKUP(TournamentData[[#This Row],[Team Number]],RobotGameScores[Team Number],RobotGameScores[Match 5 Score],0,0,))</f>
        <v>0</v>
      </c>
      <c r="H42" s="28" t="str">
        <f>IF(TournamentData[[#This Row],[Team Name]]="","",_xlfn.XLOOKUP(TournamentData[[#This Row],[Team Name]],RobotGameScores[Team Name],RobotGameScores[Match 6 Score],0,0,))</f>
        <v/>
      </c>
      <c r="I42" s="28">
        <v>0</v>
      </c>
      <c r="J42" s="28">
        <f>SUM(TournamentData[[#This Row],[Match Score 1]:[Match Score 6]])/NumberOfRounds</f>
        <v>0</v>
      </c>
      <c r="K42" s="60">
        <f>IF(TournamentData[[#This Row],[Team Number]]="","",1+COUNTIFS($J$3:$J$201,"&gt;"&amp;J42)+COUNTIFS($J$3:$J$201,J42,$I$3:$I$201,"&gt;"&amp;I42))</f>
        <v>9</v>
      </c>
      <c r="L42" s="28">
        <f>IF(TournamentData[[#This Row],[Team Number]]="","",_xlfn.XLOOKUP(TournamentData[[#This Row],[Team Number]],CoreValuesResults[Team Number],CoreValuesResults[Core Values Rank],NumberOfTeams+1,0,))</f>
        <v>9</v>
      </c>
      <c r="M42" s="28">
        <f>IF(TournamentData[[#This Row],[Team Number]]="","",_xlfn.XLOOKUP(TournamentData[[#This Row],[Team Number]],InnovationProjectResults[Team Number],InnovationProjectResults[Innovation Project Rank],NumberOfTeams+1,0,))</f>
        <v>9</v>
      </c>
      <c r="N42" s="28">
        <f>IF(TournamentData[[#This Row],[Team Number]]="","",_xlfn.XLOOKUP(TournamentData[[#This Row],[Team Number]],RobotDesignResults[Team Number],RobotDesignResults[Engineering Design Rank],NumberOfTeams+1,0,))</f>
        <v>9</v>
      </c>
      <c r="O4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42" s="29">
        <f>IF(TournamentData[[#This Row],[Team Number]]="","",IF(O42,RANK(O42,O$3:O$202,1)-COUNTIF(O$3:O$202,0),NumberOfTeams+1))</f>
        <v>9</v>
      </c>
      <c r="Q42" s="30">
        <f>_xlfn.XLOOKUP(TournamentData[[#This Row],[Team Number]],CoreValuesResults[Team Number],CoreValuesResults[Inspiration Selection],0,0,)</f>
        <v>0</v>
      </c>
      <c r="R42" s="30">
        <f>_xlfn.XLOOKUP(TournamentData[[#This Row],[Team Number]],CoreValuesResults[Team Number],CoreValuesResults[Rising All-Star Selection],0,0,)</f>
        <v>0</v>
      </c>
      <c r="S4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42" s="31"/>
      <c r="U42" s="31"/>
      <c r="V42" s="32"/>
      <c r="W42" s="91">
        <f>_xlfn.XLOOKUP(TournamentData[[#This Row],[Team Number]],CoreValuesResults[Team Number],CoreValuesResults[Core Values Score],0,0,)</f>
        <v>0</v>
      </c>
      <c r="X42" s="91">
        <f>_xlfn.XLOOKUP(TournamentData[[#This Row],[Team Number]],InnovationProjectResults[Team Number],InnovationProjectResults[Innovation Project Score],0,0,)</f>
        <v>0</v>
      </c>
      <c r="Y42" s="91">
        <f>_xlfn.XLOOKUP(TournamentData[[#This Row],[Team Number]],RobotDesignResults[Team Number],RobotDesignResults[Engineering Design Score],0,0,)</f>
        <v>0</v>
      </c>
      <c r="Z4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42" s="93">
        <f t="shared" si="1"/>
        <v>8</v>
      </c>
      <c r="AB42" s="31"/>
    </row>
    <row r="43" spans="1:28" ht="21" customHeight="1" x14ac:dyDescent="0.25">
      <c r="A43">
        <f>_xlfn.XLOOKUP(41,OfficialTeamList[Row],OfficialTeamList[Team Number],"ERROR",0)</f>
        <v>0</v>
      </c>
      <c r="B43" s="27" t="str">
        <f>_xlfn.XLOOKUP(TournamentData[[#This Row],[Team Number]],OfficialTeamList[Team Number],OfficialTeamList[Team Name],"",0,)</f>
        <v/>
      </c>
      <c r="C43" s="28">
        <f>IF(TournamentData[[#This Row],[Team Number]]="","",_xlfn.XLOOKUP(TournamentData[[#This Row],[Team Number]],RobotGameScores[Team Number],RobotGameScores[Match 1 Score],0,0,))</f>
        <v>0</v>
      </c>
      <c r="D43" s="28">
        <f>IF(TournamentData[[#This Row],[Team Number]]="","",_xlfn.XLOOKUP(TournamentData[[#This Row],[Team Number]],RobotGameScores[Team Number],RobotGameScores[Match 2 Score],0,0,))</f>
        <v>0</v>
      </c>
      <c r="E43" s="28">
        <f>IF(TournamentData[[#This Row],[Team Number]]="","",_xlfn.XLOOKUP(TournamentData[[#This Row],[Team Number]],RobotGameScores[Team Number],RobotGameScores[Match 3 Score],0,0,))</f>
        <v>0</v>
      </c>
      <c r="F43" s="28">
        <f>IF(TournamentData[[#This Row],[Team Number]]="","",_xlfn.XLOOKUP(TournamentData[[#This Row],[Team Number]],RobotGameScores[Team Number],RobotGameScores[Match 4 Score],0,0,))</f>
        <v>0</v>
      </c>
      <c r="G43" s="28">
        <f>IF(TournamentData[[#This Row],[Team Number]]="","",_xlfn.XLOOKUP(TournamentData[[#This Row],[Team Number]],RobotGameScores[Team Number],RobotGameScores[Match 5 Score],0,0,))</f>
        <v>0</v>
      </c>
      <c r="H43" s="28" t="str">
        <f>IF(TournamentData[[#This Row],[Team Name]]="","",_xlfn.XLOOKUP(TournamentData[[#This Row],[Team Name]],RobotGameScores[Team Name],RobotGameScores[Match 6 Score],0,0,))</f>
        <v/>
      </c>
      <c r="I43" s="28">
        <v>0</v>
      </c>
      <c r="J43" s="28">
        <f>SUM(TournamentData[[#This Row],[Match Score 1]:[Match Score 6]])/NumberOfRounds</f>
        <v>0</v>
      </c>
      <c r="K43" s="59">
        <f>IF(TournamentData[[#This Row],[Team Number]]="","",1+COUNTIFS($J$3:$J$201,"&gt;"&amp;J43)+COUNTIFS($J$3:$J$201,J43,$I$3:$I$201,"&gt;"&amp;I43))</f>
        <v>9</v>
      </c>
      <c r="L43" s="28">
        <f>IF(TournamentData[[#This Row],[Team Number]]="","",_xlfn.XLOOKUP(TournamentData[[#This Row],[Team Number]],CoreValuesResults[Team Number],CoreValuesResults[Core Values Rank],NumberOfTeams+1,0,))</f>
        <v>9</v>
      </c>
      <c r="M43" s="28">
        <f>IF(TournamentData[[#This Row],[Team Number]]="","",_xlfn.XLOOKUP(TournamentData[[#This Row],[Team Number]],InnovationProjectResults[Team Number],InnovationProjectResults[Innovation Project Rank],NumberOfTeams+1,0,))</f>
        <v>9</v>
      </c>
      <c r="N43" s="28">
        <f>IF(TournamentData[[#This Row],[Team Number]]="","",_xlfn.XLOOKUP(TournamentData[[#This Row],[Team Number]],RobotDesignResults[Team Number],RobotDesignResults[Engineering Design Rank],NumberOfTeams+1,0,))</f>
        <v>9</v>
      </c>
      <c r="O4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43" s="29">
        <f>IF(TournamentData[[#This Row],[Team Number]]="","",IF(O43,RANK(O43,O$3:O$202,1)-COUNTIF(O$3:O$202,0),NumberOfTeams+1))</f>
        <v>9</v>
      </c>
      <c r="Q43" s="30">
        <f>_xlfn.XLOOKUP(TournamentData[[#This Row],[Team Number]],CoreValuesResults[Team Number],CoreValuesResults[Inspiration Selection],0,0,)</f>
        <v>0</v>
      </c>
      <c r="R43" s="30">
        <f>_xlfn.XLOOKUP(TournamentData[[#This Row],[Team Number]],CoreValuesResults[Team Number],CoreValuesResults[Rising All-Star Selection],0,0,)</f>
        <v>0</v>
      </c>
      <c r="S4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43" s="31"/>
      <c r="U43" s="31"/>
      <c r="V43" s="32"/>
      <c r="W43" s="91">
        <f>_xlfn.XLOOKUP(TournamentData[[#This Row],[Team Number]],CoreValuesResults[Team Number],CoreValuesResults[Core Values Score],0,0,)</f>
        <v>0</v>
      </c>
      <c r="X43" s="91">
        <f>_xlfn.XLOOKUP(TournamentData[[#This Row],[Team Number]],InnovationProjectResults[Team Number],InnovationProjectResults[Innovation Project Score],0,0,)</f>
        <v>0</v>
      </c>
      <c r="Y43" s="91">
        <f>_xlfn.XLOOKUP(TournamentData[[#This Row],[Team Number]],RobotDesignResults[Team Number],RobotDesignResults[Engineering Design Score],0,0,)</f>
        <v>0</v>
      </c>
      <c r="Z4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43" s="93">
        <f t="shared" si="1"/>
        <v>8</v>
      </c>
      <c r="AB43" s="31"/>
    </row>
    <row r="44" spans="1:28" ht="21" customHeight="1" x14ac:dyDescent="0.25">
      <c r="A44">
        <f>_xlfn.XLOOKUP(42,OfficialTeamList[Row],OfficialTeamList[Team Number],"ERROR",0)</f>
        <v>0</v>
      </c>
      <c r="B44" s="27" t="str">
        <f>_xlfn.XLOOKUP(TournamentData[[#This Row],[Team Number]],OfficialTeamList[Team Number],OfficialTeamList[Team Name],"",0,)</f>
        <v/>
      </c>
      <c r="C44" s="28">
        <f>IF(TournamentData[[#This Row],[Team Number]]="","",_xlfn.XLOOKUP(TournamentData[[#This Row],[Team Number]],RobotGameScores[Team Number],RobotGameScores[Match 1 Score],0,0,))</f>
        <v>0</v>
      </c>
      <c r="D44" s="28">
        <f>IF(TournamentData[[#This Row],[Team Number]]="","",_xlfn.XLOOKUP(TournamentData[[#This Row],[Team Number]],RobotGameScores[Team Number],RobotGameScores[Match 2 Score],0,0,))</f>
        <v>0</v>
      </c>
      <c r="E44" s="28">
        <f>IF(TournamentData[[#This Row],[Team Number]]="","",_xlfn.XLOOKUP(TournamentData[[#This Row],[Team Number]],RobotGameScores[Team Number],RobotGameScores[Match 3 Score],0,0,))</f>
        <v>0</v>
      </c>
      <c r="F44" s="28">
        <f>IF(TournamentData[[#This Row],[Team Number]]="","",_xlfn.XLOOKUP(TournamentData[[#This Row],[Team Number]],RobotGameScores[Team Number],RobotGameScores[Match 4 Score],0,0,))</f>
        <v>0</v>
      </c>
      <c r="G44" s="28">
        <f>IF(TournamentData[[#This Row],[Team Number]]="","",_xlfn.XLOOKUP(TournamentData[[#This Row],[Team Number]],RobotGameScores[Team Number],RobotGameScores[Match 5 Score],0,0,))</f>
        <v>0</v>
      </c>
      <c r="H44" s="28" t="str">
        <f>IF(TournamentData[[#This Row],[Team Name]]="","",_xlfn.XLOOKUP(TournamentData[[#This Row],[Team Name]],RobotGameScores[Team Name],RobotGameScores[Match 6 Score],0,0,))</f>
        <v/>
      </c>
      <c r="I44" s="28">
        <v>0</v>
      </c>
      <c r="J44" s="28">
        <f>SUM(TournamentData[[#This Row],[Match Score 1]:[Match Score 6]])/NumberOfRounds</f>
        <v>0</v>
      </c>
      <c r="K44" s="60">
        <f>IF(TournamentData[[#This Row],[Team Number]]="","",1+COUNTIFS($J$3:$J$201,"&gt;"&amp;J44)+COUNTIFS($J$3:$J$201,J44,$I$3:$I$201,"&gt;"&amp;I44))</f>
        <v>9</v>
      </c>
      <c r="L44" s="28">
        <f>IF(TournamentData[[#This Row],[Team Number]]="","",_xlfn.XLOOKUP(TournamentData[[#This Row],[Team Number]],CoreValuesResults[Team Number],CoreValuesResults[Core Values Rank],NumberOfTeams+1,0,))</f>
        <v>9</v>
      </c>
      <c r="M44" s="28">
        <f>IF(TournamentData[[#This Row],[Team Number]]="","",_xlfn.XLOOKUP(TournamentData[[#This Row],[Team Number]],InnovationProjectResults[Team Number],InnovationProjectResults[Innovation Project Rank],NumberOfTeams+1,0,))</f>
        <v>9</v>
      </c>
      <c r="N44" s="28">
        <f>IF(TournamentData[[#This Row],[Team Number]]="","",_xlfn.XLOOKUP(TournamentData[[#This Row],[Team Number]],RobotDesignResults[Team Number],RobotDesignResults[Engineering Design Rank],NumberOfTeams+1,0,))</f>
        <v>9</v>
      </c>
      <c r="O4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44" s="29">
        <f>IF(TournamentData[[#This Row],[Team Number]]="","",IF(O44,RANK(O44,O$3:O$202,1)-COUNTIF(O$3:O$202,0),NumberOfTeams+1))</f>
        <v>9</v>
      </c>
      <c r="Q44" s="30">
        <f>_xlfn.XLOOKUP(TournamentData[[#This Row],[Team Number]],CoreValuesResults[Team Number],CoreValuesResults[Inspiration Selection],0,0,)</f>
        <v>0</v>
      </c>
      <c r="R44" s="33">
        <f>_xlfn.XLOOKUP(TournamentData[[#This Row],[Team Number]],CoreValuesResults[Team Number],CoreValuesResults[Rising All-Star Selection],0,0,)</f>
        <v>0</v>
      </c>
      <c r="S4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44" s="31"/>
      <c r="U44" s="31"/>
      <c r="V44" s="32"/>
      <c r="W44" s="91">
        <f>_xlfn.XLOOKUP(TournamentData[[#This Row],[Team Number]],CoreValuesResults[Team Number],CoreValuesResults[Core Values Score],0,0,)</f>
        <v>0</v>
      </c>
      <c r="X44" s="91">
        <f>_xlfn.XLOOKUP(TournamentData[[#This Row],[Team Number]],InnovationProjectResults[Team Number],InnovationProjectResults[Innovation Project Score],0,0,)</f>
        <v>0</v>
      </c>
      <c r="Y44" s="91">
        <f>_xlfn.XLOOKUP(TournamentData[[#This Row],[Team Number]],RobotDesignResults[Team Number],RobotDesignResults[Engineering Design Score],0,0,)</f>
        <v>0</v>
      </c>
      <c r="Z4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44" s="93">
        <f t="shared" si="1"/>
        <v>8</v>
      </c>
      <c r="AB44" s="31"/>
    </row>
    <row r="45" spans="1:28" ht="21" customHeight="1" x14ac:dyDescent="0.25">
      <c r="A45">
        <f>_xlfn.XLOOKUP(43,OfficialTeamList[Row],OfficialTeamList[Team Number],"ERROR",0)</f>
        <v>0</v>
      </c>
      <c r="B45" s="27" t="str">
        <f>_xlfn.XLOOKUP(TournamentData[[#This Row],[Team Number]],OfficialTeamList[Team Number],OfficialTeamList[Team Name],"",0,)</f>
        <v/>
      </c>
      <c r="C45" s="28">
        <f>IF(TournamentData[[#This Row],[Team Number]]="","",_xlfn.XLOOKUP(TournamentData[[#This Row],[Team Number]],RobotGameScores[Team Number],RobotGameScores[Match 1 Score],0,0,))</f>
        <v>0</v>
      </c>
      <c r="D45" s="28">
        <f>IF(TournamentData[[#This Row],[Team Number]]="","",_xlfn.XLOOKUP(TournamentData[[#This Row],[Team Number]],RobotGameScores[Team Number],RobotGameScores[Match 2 Score],0,0,))</f>
        <v>0</v>
      </c>
      <c r="E45" s="28">
        <f>IF(TournamentData[[#This Row],[Team Number]]="","",_xlfn.XLOOKUP(TournamentData[[#This Row],[Team Number]],RobotGameScores[Team Number],RobotGameScores[Match 3 Score],0,0,))</f>
        <v>0</v>
      </c>
      <c r="F45" s="28">
        <f>IF(TournamentData[[#This Row],[Team Number]]="","",_xlfn.XLOOKUP(TournamentData[[#This Row],[Team Number]],RobotGameScores[Team Number],RobotGameScores[Match 4 Score],0,0,))</f>
        <v>0</v>
      </c>
      <c r="G45" s="28">
        <f>IF(TournamentData[[#This Row],[Team Number]]="","",_xlfn.XLOOKUP(TournamentData[[#This Row],[Team Number]],RobotGameScores[Team Number],RobotGameScores[Match 5 Score],0,0,))</f>
        <v>0</v>
      </c>
      <c r="H45" s="28" t="str">
        <f>IF(TournamentData[[#This Row],[Team Name]]="","",_xlfn.XLOOKUP(TournamentData[[#This Row],[Team Name]],RobotGameScores[Team Name],RobotGameScores[Match 6 Score],0,0,))</f>
        <v/>
      </c>
      <c r="I45" s="28">
        <v>0</v>
      </c>
      <c r="J45" s="28">
        <f>SUM(TournamentData[[#This Row],[Match Score 1]:[Match Score 6]])/NumberOfRounds</f>
        <v>0</v>
      </c>
      <c r="K45" s="59">
        <f>IF(TournamentData[[#This Row],[Team Number]]="","",1+COUNTIFS($J$3:$J$201,"&gt;"&amp;J45)+COUNTIFS($J$3:$J$201,J45,$I$3:$I$201,"&gt;"&amp;I45))</f>
        <v>9</v>
      </c>
      <c r="L45" s="28">
        <f>IF(TournamentData[[#This Row],[Team Number]]="","",_xlfn.XLOOKUP(TournamentData[[#This Row],[Team Number]],CoreValuesResults[Team Number],CoreValuesResults[Core Values Rank],NumberOfTeams+1,0,))</f>
        <v>9</v>
      </c>
      <c r="M45" s="28">
        <f>IF(TournamentData[[#This Row],[Team Number]]="","",_xlfn.XLOOKUP(TournamentData[[#This Row],[Team Number]],InnovationProjectResults[Team Number],InnovationProjectResults[Innovation Project Rank],NumberOfTeams+1,0,))</f>
        <v>9</v>
      </c>
      <c r="N45" s="28">
        <f>IF(TournamentData[[#This Row],[Team Number]]="","",_xlfn.XLOOKUP(TournamentData[[#This Row],[Team Number]],RobotDesignResults[Team Number],RobotDesignResults[Engineering Design Rank],NumberOfTeams+1,0,))</f>
        <v>9</v>
      </c>
      <c r="O4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45" s="29">
        <f>IF(TournamentData[[#This Row],[Team Number]]="","",IF(O45,RANK(O45,O$3:O$202,1)-COUNTIF(O$3:O$202,0),NumberOfTeams+1))</f>
        <v>9</v>
      </c>
      <c r="Q45" s="30">
        <f>_xlfn.XLOOKUP(TournamentData[[#This Row],[Team Number]],CoreValuesResults[Team Number],CoreValuesResults[Inspiration Selection],0,0,)</f>
        <v>0</v>
      </c>
      <c r="R45" s="30">
        <f>_xlfn.XLOOKUP(TournamentData[[#This Row],[Team Number]],CoreValuesResults[Team Number],CoreValuesResults[Rising All-Star Selection],0,0,)</f>
        <v>0</v>
      </c>
      <c r="S4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45" s="31"/>
      <c r="U45" s="31"/>
      <c r="V45" s="32"/>
      <c r="W45" s="91">
        <f>_xlfn.XLOOKUP(TournamentData[[#This Row],[Team Number]],CoreValuesResults[Team Number],CoreValuesResults[Core Values Score],0,0,)</f>
        <v>0</v>
      </c>
      <c r="X45" s="91">
        <f>_xlfn.XLOOKUP(TournamentData[[#This Row],[Team Number]],InnovationProjectResults[Team Number],InnovationProjectResults[Innovation Project Score],0,0,)</f>
        <v>0</v>
      </c>
      <c r="Y45" s="91">
        <f>_xlfn.XLOOKUP(TournamentData[[#This Row],[Team Number]],RobotDesignResults[Team Number],RobotDesignResults[Engineering Design Score],0,0,)</f>
        <v>0</v>
      </c>
      <c r="Z4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45" s="93">
        <f t="shared" si="1"/>
        <v>8</v>
      </c>
      <c r="AB45" s="31"/>
    </row>
    <row r="46" spans="1:28" ht="21" customHeight="1" x14ac:dyDescent="0.25">
      <c r="A46">
        <f>_xlfn.XLOOKUP(44,OfficialTeamList[Row],OfficialTeamList[Team Number],"ERROR",0)</f>
        <v>0</v>
      </c>
      <c r="B46" s="27" t="str">
        <f>_xlfn.XLOOKUP(TournamentData[[#This Row],[Team Number]],OfficialTeamList[Team Number],OfficialTeamList[Team Name],"",0,)</f>
        <v/>
      </c>
      <c r="C46" s="28">
        <f>IF(TournamentData[[#This Row],[Team Number]]="","",_xlfn.XLOOKUP(TournamentData[[#This Row],[Team Number]],RobotGameScores[Team Number],RobotGameScores[Match 1 Score],0,0,))</f>
        <v>0</v>
      </c>
      <c r="D46" s="28">
        <f>IF(TournamentData[[#This Row],[Team Number]]="","",_xlfn.XLOOKUP(TournamentData[[#This Row],[Team Number]],RobotGameScores[Team Number],RobotGameScores[Match 2 Score],0,0,))</f>
        <v>0</v>
      </c>
      <c r="E46" s="28">
        <f>IF(TournamentData[[#This Row],[Team Number]]="","",_xlfn.XLOOKUP(TournamentData[[#This Row],[Team Number]],RobotGameScores[Team Number],RobotGameScores[Match 3 Score],0,0,))</f>
        <v>0</v>
      </c>
      <c r="F46" s="28">
        <f>IF(TournamentData[[#This Row],[Team Number]]="","",_xlfn.XLOOKUP(TournamentData[[#This Row],[Team Number]],RobotGameScores[Team Number],RobotGameScores[Match 4 Score],0,0,))</f>
        <v>0</v>
      </c>
      <c r="G46" s="28">
        <f>IF(TournamentData[[#This Row],[Team Number]]="","",_xlfn.XLOOKUP(TournamentData[[#This Row],[Team Number]],RobotGameScores[Team Number],RobotGameScores[Match 5 Score],0,0,))</f>
        <v>0</v>
      </c>
      <c r="H46" s="28" t="str">
        <f>IF(TournamentData[[#This Row],[Team Name]]="","",_xlfn.XLOOKUP(TournamentData[[#This Row],[Team Name]],RobotGameScores[Team Name],RobotGameScores[Match 6 Score],0,0,))</f>
        <v/>
      </c>
      <c r="I46" s="28">
        <v>0</v>
      </c>
      <c r="J46" s="28">
        <f>SUM(TournamentData[[#This Row],[Match Score 1]:[Match Score 6]])/NumberOfRounds</f>
        <v>0</v>
      </c>
      <c r="K46" s="60">
        <f>IF(TournamentData[[#This Row],[Team Number]]="","",1+COUNTIFS($J$3:$J$201,"&gt;"&amp;J46)+COUNTIFS($J$3:$J$201,J46,$I$3:$I$201,"&gt;"&amp;I46))</f>
        <v>9</v>
      </c>
      <c r="L46" s="28">
        <f>IF(TournamentData[[#This Row],[Team Number]]="","",_xlfn.XLOOKUP(TournamentData[[#This Row],[Team Number]],CoreValuesResults[Team Number],CoreValuesResults[Core Values Rank],NumberOfTeams+1,0,))</f>
        <v>9</v>
      </c>
      <c r="M46" s="28">
        <f>IF(TournamentData[[#This Row],[Team Number]]="","",_xlfn.XLOOKUP(TournamentData[[#This Row],[Team Number]],InnovationProjectResults[Team Number],InnovationProjectResults[Innovation Project Rank],NumberOfTeams+1,0,))</f>
        <v>9</v>
      </c>
      <c r="N46" s="28">
        <f>IF(TournamentData[[#This Row],[Team Number]]="","",_xlfn.XLOOKUP(TournamentData[[#This Row],[Team Number]],RobotDesignResults[Team Number],RobotDesignResults[Engineering Design Rank],NumberOfTeams+1,0,))</f>
        <v>9</v>
      </c>
      <c r="O4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46" s="29">
        <f>IF(TournamentData[[#This Row],[Team Number]]="","",IF(O46,RANK(O46,O$3:O$202,1)-COUNTIF(O$3:O$202,0),NumberOfTeams+1))</f>
        <v>9</v>
      </c>
      <c r="Q46" s="30">
        <f>_xlfn.XLOOKUP(TournamentData[[#This Row],[Team Number]],CoreValuesResults[Team Number],CoreValuesResults[Inspiration Selection],0,0,)</f>
        <v>0</v>
      </c>
      <c r="R46" s="33">
        <f>_xlfn.XLOOKUP(TournamentData[[#This Row],[Team Number]],CoreValuesResults[Team Number],CoreValuesResults[Rising All-Star Selection],0,0,)</f>
        <v>0</v>
      </c>
      <c r="S4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46" s="31"/>
      <c r="U46" s="31"/>
      <c r="V46" s="32"/>
      <c r="W46" s="91">
        <f>_xlfn.XLOOKUP(TournamentData[[#This Row],[Team Number]],CoreValuesResults[Team Number],CoreValuesResults[Core Values Score],0,0,)</f>
        <v>0</v>
      </c>
      <c r="X46" s="91">
        <f>_xlfn.XLOOKUP(TournamentData[[#This Row],[Team Number]],InnovationProjectResults[Team Number],InnovationProjectResults[Innovation Project Score],0,0,)</f>
        <v>0</v>
      </c>
      <c r="Y46" s="91">
        <f>_xlfn.XLOOKUP(TournamentData[[#This Row],[Team Number]],RobotDesignResults[Team Number],RobotDesignResults[Engineering Design Score],0,0,)</f>
        <v>0</v>
      </c>
      <c r="Z4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46" s="93">
        <f t="shared" si="1"/>
        <v>8</v>
      </c>
      <c r="AB46" s="31"/>
    </row>
    <row r="47" spans="1:28" ht="21" customHeight="1" x14ac:dyDescent="0.25">
      <c r="A47">
        <f>_xlfn.XLOOKUP(45,OfficialTeamList[Row],OfficialTeamList[Team Number],"ERROR",0)</f>
        <v>0</v>
      </c>
      <c r="B47" s="27" t="str">
        <f>_xlfn.XLOOKUP(TournamentData[[#This Row],[Team Number]],OfficialTeamList[Team Number],OfficialTeamList[Team Name],"",0,)</f>
        <v/>
      </c>
      <c r="C47" s="28">
        <f>IF(TournamentData[[#This Row],[Team Number]]="","",_xlfn.XLOOKUP(TournamentData[[#This Row],[Team Number]],RobotGameScores[Team Number],RobotGameScores[Match 1 Score],0,0,))</f>
        <v>0</v>
      </c>
      <c r="D47" s="28">
        <f>IF(TournamentData[[#This Row],[Team Number]]="","",_xlfn.XLOOKUP(TournamentData[[#This Row],[Team Number]],RobotGameScores[Team Number],RobotGameScores[Match 2 Score],0,0,))</f>
        <v>0</v>
      </c>
      <c r="E47" s="28">
        <f>IF(TournamentData[[#This Row],[Team Number]]="","",_xlfn.XLOOKUP(TournamentData[[#This Row],[Team Number]],RobotGameScores[Team Number],RobotGameScores[Match 3 Score],0,0,))</f>
        <v>0</v>
      </c>
      <c r="F47" s="28">
        <f>IF(TournamentData[[#This Row],[Team Number]]="","",_xlfn.XLOOKUP(TournamentData[[#This Row],[Team Number]],RobotGameScores[Team Number],RobotGameScores[Match 4 Score],0,0,))</f>
        <v>0</v>
      </c>
      <c r="G47" s="28">
        <f>IF(TournamentData[[#This Row],[Team Number]]="","",_xlfn.XLOOKUP(TournamentData[[#This Row],[Team Number]],RobotGameScores[Team Number],RobotGameScores[Match 5 Score],0,0,))</f>
        <v>0</v>
      </c>
      <c r="H47" s="28" t="str">
        <f>IF(TournamentData[[#This Row],[Team Name]]="","",_xlfn.XLOOKUP(TournamentData[[#This Row],[Team Name]],RobotGameScores[Team Name],RobotGameScores[Match 6 Score],0,0,))</f>
        <v/>
      </c>
      <c r="I47" s="28">
        <v>0</v>
      </c>
      <c r="J47" s="28">
        <f>SUM(TournamentData[[#This Row],[Match Score 1]:[Match Score 6]])/NumberOfRounds</f>
        <v>0</v>
      </c>
      <c r="K47" s="59">
        <f>IF(TournamentData[[#This Row],[Team Number]]="","",1+COUNTIFS($J$3:$J$201,"&gt;"&amp;J47)+COUNTIFS($J$3:$J$201,J47,$I$3:$I$201,"&gt;"&amp;I47))</f>
        <v>9</v>
      </c>
      <c r="L47" s="28">
        <f>IF(TournamentData[[#This Row],[Team Number]]="","",_xlfn.XLOOKUP(TournamentData[[#This Row],[Team Number]],CoreValuesResults[Team Number],CoreValuesResults[Core Values Rank],NumberOfTeams+1,0,))</f>
        <v>9</v>
      </c>
      <c r="M47" s="28">
        <f>IF(TournamentData[[#This Row],[Team Number]]="","",_xlfn.XLOOKUP(TournamentData[[#This Row],[Team Number]],InnovationProjectResults[Team Number],InnovationProjectResults[Innovation Project Rank],NumberOfTeams+1,0,))</f>
        <v>9</v>
      </c>
      <c r="N47" s="28">
        <f>IF(TournamentData[[#This Row],[Team Number]]="","",_xlfn.XLOOKUP(TournamentData[[#This Row],[Team Number]],RobotDesignResults[Team Number],RobotDesignResults[Engineering Design Rank],NumberOfTeams+1,0,))</f>
        <v>9</v>
      </c>
      <c r="O4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47" s="29">
        <f>IF(TournamentData[[#This Row],[Team Number]]="","",IF(O47,RANK(O47,O$3:O$202,1)-COUNTIF(O$3:O$202,0),NumberOfTeams+1))</f>
        <v>9</v>
      </c>
      <c r="Q47" s="30">
        <f>_xlfn.XLOOKUP(TournamentData[[#This Row],[Team Number]],CoreValuesResults[Team Number],CoreValuesResults[Inspiration Selection],0,0,)</f>
        <v>0</v>
      </c>
      <c r="R47" s="30">
        <f>_xlfn.XLOOKUP(TournamentData[[#This Row],[Team Number]],CoreValuesResults[Team Number],CoreValuesResults[Rising All-Star Selection],0,0,)</f>
        <v>0</v>
      </c>
      <c r="S4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47" s="31"/>
      <c r="U47" s="31"/>
      <c r="V47" s="32"/>
      <c r="W47" s="91">
        <f>_xlfn.XLOOKUP(TournamentData[[#This Row],[Team Number]],CoreValuesResults[Team Number],CoreValuesResults[Core Values Score],0,0,)</f>
        <v>0</v>
      </c>
      <c r="X47" s="91">
        <f>_xlfn.XLOOKUP(TournamentData[[#This Row],[Team Number]],InnovationProjectResults[Team Number],InnovationProjectResults[Innovation Project Score],0,0,)</f>
        <v>0</v>
      </c>
      <c r="Y47" s="91">
        <f>_xlfn.XLOOKUP(TournamentData[[#This Row],[Team Number]],RobotDesignResults[Team Number],RobotDesignResults[Engineering Design Score],0,0,)</f>
        <v>0</v>
      </c>
      <c r="Z4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47" s="93">
        <f t="shared" si="1"/>
        <v>8</v>
      </c>
      <c r="AB47" s="31"/>
    </row>
    <row r="48" spans="1:28" ht="21" customHeight="1" x14ac:dyDescent="0.25">
      <c r="A48">
        <f>_xlfn.XLOOKUP(46,OfficialTeamList[Row],OfficialTeamList[Team Number],"ERROR",0)</f>
        <v>0</v>
      </c>
      <c r="B48" s="27" t="str">
        <f>_xlfn.XLOOKUP(TournamentData[[#This Row],[Team Number]],OfficialTeamList[Team Number],OfficialTeamList[Team Name],"",0,)</f>
        <v/>
      </c>
      <c r="C48" s="28">
        <f>IF(TournamentData[[#This Row],[Team Number]]="","",_xlfn.XLOOKUP(TournamentData[[#This Row],[Team Number]],RobotGameScores[Team Number],RobotGameScores[Match 1 Score],0,0,))</f>
        <v>0</v>
      </c>
      <c r="D48" s="28">
        <f>IF(TournamentData[[#This Row],[Team Number]]="","",_xlfn.XLOOKUP(TournamentData[[#This Row],[Team Number]],RobotGameScores[Team Number],RobotGameScores[Match 2 Score],0,0,))</f>
        <v>0</v>
      </c>
      <c r="E48" s="28">
        <f>IF(TournamentData[[#This Row],[Team Number]]="","",_xlfn.XLOOKUP(TournamentData[[#This Row],[Team Number]],RobotGameScores[Team Number],RobotGameScores[Match 3 Score],0,0,))</f>
        <v>0</v>
      </c>
      <c r="F48" s="28">
        <f>IF(TournamentData[[#This Row],[Team Number]]="","",_xlfn.XLOOKUP(TournamentData[[#This Row],[Team Number]],RobotGameScores[Team Number],RobotGameScores[Match 4 Score],0,0,))</f>
        <v>0</v>
      </c>
      <c r="G48" s="28">
        <f>IF(TournamentData[[#This Row],[Team Number]]="","",_xlfn.XLOOKUP(TournamentData[[#This Row],[Team Number]],RobotGameScores[Team Number],RobotGameScores[Match 5 Score],0,0,))</f>
        <v>0</v>
      </c>
      <c r="H48" s="28" t="str">
        <f>IF(TournamentData[[#This Row],[Team Name]]="","",_xlfn.XLOOKUP(TournamentData[[#This Row],[Team Name]],RobotGameScores[Team Name],RobotGameScores[Match 6 Score],0,0,))</f>
        <v/>
      </c>
      <c r="I48" s="28">
        <v>0</v>
      </c>
      <c r="J48" s="28">
        <f>SUM(TournamentData[[#This Row],[Match Score 1]:[Match Score 6]])/NumberOfRounds</f>
        <v>0</v>
      </c>
      <c r="K48" s="60">
        <f>IF(TournamentData[[#This Row],[Team Number]]="","",1+COUNTIFS($J$3:$J$201,"&gt;"&amp;J48)+COUNTIFS($J$3:$J$201,J48,$I$3:$I$201,"&gt;"&amp;I48))</f>
        <v>9</v>
      </c>
      <c r="L48" s="28">
        <f>IF(TournamentData[[#This Row],[Team Number]]="","",_xlfn.XLOOKUP(TournamentData[[#This Row],[Team Number]],CoreValuesResults[Team Number],CoreValuesResults[Core Values Rank],NumberOfTeams+1,0,))</f>
        <v>9</v>
      </c>
      <c r="M48" s="28">
        <f>IF(TournamentData[[#This Row],[Team Number]]="","",_xlfn.XLOOKUP(TournamentData[[#This Row],[Team Number]],InnovationProjectResults[Team Number],InnovationProjectResults[Innovation Project Rank],NumberOfTeams+1,0,))</f>
        <v>9</v>
      </c>
      <c r="N48" s="28">
        <f>IF(TournamentData[[#This Row],[Team Number]]="","",_xlfn.XLOOKUP(TournamentData[[#This Row],[Team Number]],RobotDesignResults[Team Number],RobotDesignResults[Engineering Design Rank],NumberOfTeams+1,0,))</f>
        <v>9</v>
      </c>
      <c r="O4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48" s="29">
        <f>IF(TournamentData[[#This Row],[Team Number]]="","",IF(O48,RANK(O48,O$3:O$202,1)-COUNTIF(O$3:O$202,0),NumberOfTeams+1))</f>
        <v>9</v>
      </c>
      <c r="Q48" s="30">
        <f>_xlfn.XLOOKUP(TournamentData[[#This Row],[Team Number]],CoreValuesResults[Team Number],CoreValuesResults[Inspiration Selection],0,0,)</f>
        <v>0</v>
      </c>
      <c r="R48" s="30">
        <f>_xlfn.XLOOKUP(TournamentData[[#This Row],[Team Number]],CoreValuesResults[Team Number],CoreValuesResults[Rising All-Star Selection],0,0,)</f>
        <v>0</v>
      </c>
      <c r="S4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48" s="31"/>
      <c r="U48" s="31"/>
      <c r="V48" s="32"/>
      <c r="W48" s="91">
        <f>_xlfn.XLOOKUP(TournamentData[[#This Row],[Team Number]],CoreValuesResults[Team Number],CoreValuesResults[Core Values Score],0,0,)</f>
        <v>0</v>
      </c>
      <c r="X48" s="91">
        <f>_xlfn.XLOOKUP(TournamentData[[#This Row],[Team Number]],InnovationProjectResults[Team Number],InnovationProjectResults[Innovation Project Score],0,0,)</f>
        <v>0</v>
      </c>
      <c r="Y48" s="91">
        <f>_xlfn.XLOOKUP(TournamentData[[#This Row],[Team Number]],RobotDesignResults[Team Number],RobotDesignResults[Engineering Design Score],0,0,)</f>
        <v>0</v>
      </c>
      <c r="Z4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48" s="93">
        <f t="shared" si="1"/>
        <v>8</v>
      </c>
      <c r="AB48" s="31"/>
    </row>
    <row r="49" spans="1:28" ht="21" customHeight="1" x14ac:dyDescent="0.25">
      <c r="A49">
        <f>_xlfn.XLOOKUP(47,OfficialTeamList[Row],OfficialTeamList[Team Number],"ERROR",0)</f>
        <v>0</v>
      </c>
      <c r="B49" s="27" t="str">
        <f>_xlfn.XLOOKUP(TournamentData[[#This Row],[Team Number]],OfficialTeamList[Team Number],OfficialTeamList[Team Name],"",0,)</f>
        <v/>
      </c>
      <c r="C49" s="28">
        <f>IF(TournamentData[[#This Row],[Team Number]]="","",_xlfn.XLOOKUP(TournamentData[[#This Row],[Team Number]],RobotGameScores[Team Number],RobotGameScores[Match 1 Score],0,0,))</f>
        <v>0</v>
      </c>
      <c r="D49" s="28">
        <f>IF(TournamentData[[#This Row],[Team Number]]="","",_xlfn.XLOOKUP(TournamentData[[#This Row],[Team Number]],RobotGameScores[Team Number],RobotGameScores[Match 2 Score],0,0,))</f>
        <v>0</v>
      </c>
      <c r="E49" s="28">
        <f>IF(TournamentData[[#This Row],[Team Number]]="","",_xlfn.XLOOKUP(TournamentData[[#This Row],[Team Number]],RobotGameScores[Team Number],RobotGameScores[Match 3 Score],0,0,))</f>
        <v>0</v>
      </c>
      <c r="F49" s="28">
        <f>IF(TournamentData[[#This Row],[Team Number]]="","",_xlfn.XLOOKUP(TournamentData[[#This Row],[Team Number]],RobotGameScores[Team Number],RobotGameScores[Match 4 Score],0,0,))</f>
        <v>0</v>
      </c>
      <c r="G49" s="28">
        <f>IF(TournamentData[[#This Row],[Team Number]]="","",_xlfn.XLOOKUP(TournamentData[[#This Row],[Team Number]],RobotGameScores[Team Number],RobotGameScores[Match 5 Score],0,0,))</f>
        <v>0</v>
      </c>
      <c r="H49" s="28" t="str">
        <f>IF(TournamentData[[#This Row],[Team Name]]="","",_xlfn.XLOOKUP(TournamentData[[#This Row],[Team Name]],RobotGameScores[Team Name],RobotGameScores[Match 6 Score],0,0,))</f>
        <v/>
      </c>
      <c r="I49" s="28">
        <v>0</v>
      </c>
      <c r="J49" s="28">
        <f>SUM(TournamentData[[#This Row],[Match Score 1]:[Match Score 6]])/NumberOfRounds</f>
        <v>0</v>
      </c>
      <c r="K49" s="59">
        <f>IF(TournamentData[[#This Row],[Team Number]]="","",1+COUNTIFS($J$3:$J$201,"&gt;"&amp;J49)+COUNTIFS($J$3:$J$201,J49,$I$3:$I$201,"&gt;"&amp;I49))</f>
        <v>9</v>
      </c>
      <c r="L49" s="28">
        <f>IF(TournamentData[[#This Row],[Team Number]]="","",_xlfn.XLOOKUP(TournamentData[[#This Row],[Team Number]],CoreValuesResults[Team Number],CoreValuesResults[Core Values Rank],NumberOfTeams+1,0,))</f>
        <v>9</v>
      </c>
      <c r="M49" s="28">
        <f>IF(TournamentData[[#This Row],[Team Number]]="","",_xlfn.XLOOKUP(TournamentData[[#This Row],[Team Number]],InnovationProjectResults[Team Number],InnovationProjectResults[Innovation Project Rank],NumberOfTeams+1,0,))</f>
        <v>9</v>
      </c>
      <c r="N49" s="28">
        <f>IF(TournamentData[[#This Row],[Team Number]]="","",_xlfn.XLOOKUP(TournamentData[[#This Row],[Team Number]],RobotDesignResults[Team Number],RobotDesignResults[Engineering Design Rank],NumberOfTeams+1,0,))</f>
        <v>9</v>
      </c>
      <c r="O4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49" s="29">
        <f>IF(TournamentData[[#This Row],[Team Number]]="","",IF(O49,RANK(O49,O$3:O$202,1)-COUNTIF(O$3:O$202,0),NumberOfTeams+1))</f>
        <v>9</v>
      </c>
      <c r="Q49" s="30">
        <f>_xlfn.XLOOKUP(TournamentData[[#This Row],[Team Number]],CoreValuesResults[Team Number],CoreValuesResults[Inspiration Selection],0,0,)</f>
        <v>0</v>
      </c>
      <c r="R49" s="33">
        <f>_xlfn.XLOOKUP(TournamentData[[#This Row],[Team Number]],CoreValuesResults[Team Number],CoreValuesResults[Rising All-Star Selection],0,0,)</f>
        <v>0</v>
      </c>
      <c r="S4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49" s="31"/>
      <c r="U49" s="31"/>
      <c r="V49" s="32"/>
      <c r="W49" s="91">
        <f>_xlfn.XLOOKUP(TournamentData[[#This Row],[Team Number]],CoreValuesResults[Team Number],CoreValuesResults[Core Values Score],0,0,)</f>
        <v>0</v>
      </c>
      <c r="X49" s="91">
        <f>_xlfn.XLOOKUP(TournamentData[[#This Row],[Team Number]],InnovationProjectResults[Team Number],InnovationProjectResults[Innovation Project Score],0,0,)</f>
        <v>0</v>
      </c>
      <c r="Y49" s="91">
        <f>_xlfn.XLOOKUP(TournamentData[[#This Row],[Team Number]],RobotDesignResults[Team Number],RobotDesignResults[Engineering Design Score],0,0,)</f>
        <v>0</v>
      </c>
      <c r="Z4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49" s="93">
        <f t="shared" si="1"/>
        <v>8</v>
      </c>
      <c r="AB49" s="31"/>
    </row>
    <row r="50" spans="1:28" ht="21" customHeight="1" x14ac:dyDescent="0.25">
      <c r="A50">
        <f>_xlfn.XLOOKUP(48,OfficialTeamList[Row],OfficialTeamList[Team Number],"ERROR",0)</f>
        <v>0</v>
      </c>
      <c r="B50" s="27" t="str">
        <f>_xlfn.XLOOKUP(TournamentData[[#This Row],[Team Number]],OfficialTeamList[Team Number],OfficialTeamList[Team Name],"",0,)</f>
        <v/>
      </c>
      <c r="C50" s="28">
        <f>IF(TournamentData[[#This Row],[Team Number]]="","",_xlfn.XLOOKUP(TournamentData[[#This Row],[Team Number]],RobotGameScores[Team Number],RobotGameScores[Match 1 Score],0,0,))</f>
        <v>0</v>
      </c>
      <c r="D50" s="28">
        <f>IF(TournamentData[[#This Row],[Team Number]]="","",_xlfn.XLOOKUP(TournamentData[[#This Row],[Team Number]],RobotGameScores[Team Number],RobotGameScores[Match 2 Score],0,0,))</f>
        <v>0</v>
      </c>
      <c r="E50" s="28">
        <f>IF(TournamentData[[#This Row],[Team Number]]="","",_xlfn.XLOOKUP(TournamentData[[#This Row],[Team Number]],RobotGameScores[Team Number],RobotGameScores[Match 3 Score],0,0,))</f>
        <v>0</v>
      </c>
      <c r="F50" s="28">
        <f>IF(TournamentData[[#This Row],[Team Number]]="","",_xlfn.XLOOKUP(TournamentData[[#This Row],[Team Number]],RobotGameScores[Team Number],RobotGameScores[Match 4 Score],0,0,))</f>
        <v>0</v>
      </c>
      <c r="G50" s="28">
        <f>IF(TournamentData[[#This Row],[Team Number]]="","",_xlfn.XLOOKUP(TournamentData[[#This Row],[Team Number]],RobotGameScores[Team Number],RobotGameScores[Match 5 Score],0,0,))</f>
        <v>0</v>
      </c>
      <c r="H50" s="28" t="str">
        <f>IF(TournamentData[[#This Row],[Team Name]]="","",_xlfn.XLOOKUP(TournamentData[[#This Row],[Team Name]],RobotGameScores[Team Name],RobotGameScores[Match 6 Score],0,0,))</f>
        <v/>
      </c>
      <c r="I50" s="28">
        <v>0</v>
      </c>
      <c r="J50" s="28">
        <f>SUM(TournamentData[[#This Row],[Match Score 1]:[Match Score 6]])/NumberOfRounds</f>
        <v>0</v>
      </c>
      <c r="K50" s="60">
        <f>IF(TournamentData[[#This Row],[Team Number]]="","",1+COUNTIFS($J$3:$J$201,"&gt;"&amp;J50)+COUNTIFS($J$3:$J$201,J50,$I$3:$I$201,"&gt;"&amp;I50))</f>
        <v>9</v>
      </c>
      <c r="L50" s="28">
        <f>IF(TournamentData[[#This Row],[Team Number]]="","",_xlfn.XLOOKUP(TournamentData[[#This Row],[Team Number]],CoreValuesResults[Team Number],CoreValuesResults[Core Values Rank],NumberOfTeams+1,0,))</f>
        <v>9</v>
      </c>
      <c r="M50" s="28">
        <f>IF(TournamentData[[#This Row],[Team Number]]="","",_xlfn.XLOOKUP(TournamentData[[#This Row],[Team Number]],InnovationProjectResults[Team Number],InnovationProjectResults[Innovation Project Rank],NumberOfTeams+1,0,))</f>
        <v>9</v>
      </c>
      <c r="N50" s="28">
        <f>IF(TournamentData[[#This Row],[Team Number]]="","",_xlfn.XLOOKUP(TournamentData[[#This Row],[Team Number]],RobotDesignResults[Team Number],RobotDesignResults[Engineering Design Rank],NumberOfTeams+1,0,))</f>
        <v>9</v>
      </c>
      <c r="O5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50" s="29">
        <f>IF(TournamentData[[#This Row],[Team Number]]="","",IF(O50,RANK(O50,O$3:O$202,1)-COUNTIF(O$3:O$202,0),NumberOfTeams+1))</f>
        <v>9</v>
      </c>
      <c r="Q50" s="30">
        <f>_xlfn.XLOOKUP(TournamentData[[#This Row],[Team Number]],CoreValuesResults[Team Number],CoreValuesResults[Inspiration Selection],0,0,)</f>
        <v>0</v>
      </c>
      <c r="R50" s="30">
        <f>_xlfn.XLOOKUP(TournamentData[[#This Row],[Team Number]],CoreValuesResults[Team Number],CoreValuesResults[Rising All-Star Selection],0,0,)</f>
        <v>0</v>
      </c>
      <c r="S5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50" s="31"/>
      <c r="U50" s="31"/>
      <c r="V50" s="32"/>
      <c r="W50" s="91">
        <f>_xlfn.XLOOKUP(TournamentData[[#This Row],[Team Number]],CoreValuesResults[Team Number],CoreValuesResults[Core Values Score],0,0,)</f>
        <v>0</v>
      </c>
      <c r="X50" s="91">
        <f>_xlfn.XLOOKUP(TournamentData[[#This Row],[Team Number]],InnovationProjectResults[Team Number],InnovationProjectResults[Innovation Project Score],0,0,)</f>
        <v>0</v>
      </c>
      <c r="Y50" s="91">
        <f>_xlfn.XLOOKUP(TournamentData[[#This Row],[Team Number]],RobotDesignResults[Team Number],RobotDesignResults[Engineering Design Score],0,0,)</f>
        <v>0</v>
      </c>
      <c r="Z5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50" s="93">
        <f t="shared" si="1"/>
        <v>8</v>
      </c>
      <c r="AB50" s="31"/>
    </row>
    <row r="51" spans="1:28" ht="21" customHeight="1" x14ac:dyDescent="0.25">
      <c r="A51">
        <f>_xlfn.XLOOKUP(49,OfficialTeamList[Row],OfficialTeamList[Team Number],"ERROR",0)</f>
        <v>0</v>
      </c>
      <c r="B51" s="27" t="str">
        <f>_xlfn.XLOOKUP(TournamentData[[#This Row],[Team Number]],OfficialTeamList[Team Number],OfficialTeamList[Team Name],"",0,)</f>
        <v/>
      </c>
      <c r="C51" s="28">
        <f>IF(TournamentData[[#This Row],[Team Number]]="","",_xlfn.XLOOKUP(TournamentData[[#This Row],[Team Number]],RobotGameScores[Team Number],RobotGameScores[Match 1 Score],0,0,))</f>
        <v>0</v>
      </c>
      <c r="D51" s="28">
        <f>IF(TournamentData[[#This Row],[Team Number]]="","",_xlfn.XLOOKUP(TournamentData[[#This Row],[Team Number]],RobotGameScores[Team Number],RobotGameScores[Match 2 Score],0,0,))</f>
        <v>0</v>
      </c>
      <c r="E51" s="28">
        <f>IF(TournamentData[[#This Row],[Team Number]]="","",_xlfn.XLOOKUP(TournamentData[[#This Row],[Team Number]],RobotGameScores[Team Number],RobotGameScores[Match 3 Score],0,0,))</f>
        <v>0</v>
      </c>
      <c r="F51" s="28">
        <f>IF(TournamentData[[#This Row],[Team Number]]="","",_xlfn.XLOOKUP(TournamentData[[#This Row],[Team Number]],RobotGameScores[Team Number],RobotGameScores[Match 4 Score],0,0,))</f>
        <v>0</v>
      </c>
      <c r="G51" s="28">
        <f>IF(TournamentData[[#This Row],[Team Number]]="","",_xlfn.XLOOKUP(TournamentData[[#This Row],[Team Number]],RobotGameScores[Team Number],RobotGameScores[Match 5 Score],0,0,))</f>
        <v>0</v>
      </c>
      <c r="H51" s="28" t="str">
        <f>IF(TournamentData[[#This Row],[Team Name]]="","",_xlfn.XLOOKUP(TournamentData[[#This Row],[Team Name]],RobotGameScores[Team Name],RobotGameScores[Match 6 Score],0,0,))</f>
        <v/>
      </c>
      <c r="I51" s="28">
        <v>0</v>
      </c>
      <c r="J51" s="28">
        <f>SUM(TournamentData[[#This Row],[Match Score 1]:[Match Score 6]])/NumberOfRounds</f>
        <v>0</v>
      </c>
      <c r="K51" s="59">
        <f>IF(TournamentData[[#This Row],[Team Number]]="","",1+COUNTIFS($J$3:$J$201,"&gt;"&amp;J51)+COUNTIFS($J$3:$J$201,J51,$I$3:$I$201,"&gt;"&amp;I51))</f>
        <v>9</v>
      </c>
      <c r="L51" s="28">
        <f>IF(TournamentData[[#This Row],[Team Number]]="","",_xlfn.XLOOKUP(TournamentData[[#This Row],[Team Number]],CoreValuesResults[Team Number],CoreValuesResults[Core Values Rank],NumberOfTeams+1,0,))</f>
        <v>9</v>
      </c>
      <c r="M51" s="28">
        <f>IF(TournamentData[[#This Row],[Team Number]]="","",_xlfn.XLOOKUP(TournamentData[[#This Row],[Team Number]],InnovationProjectResults[Team Number],InnovationProjectResults[Innovation Project Rank],NumberOfTeams+1,0,))</f>
        <v>9</v>
      </c>
      <c r="N51" s="28">
        <f>IF(TournamentData[[#This Row],[Team Number]]="","",_xlfn.XLOOKUP(TournamentData[[#This Row],[Team Number]],RobotDesignResults[Team Number],RobotDesignResults[Engineering Design Rank],NumberOfTeams+1,0,))</f>
        <v>9</v>
      </c>
      <c r="O5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51" s="29">
        <f>IF(TournamentData[[#This Row],[Team Number]]="","",IF(O51,RANK(O51,O$3:O$202,1)-COUNTIF(O$3:O$202,0),NumberOfTeams+1))</f>
        <v>9</v>
      </c>
      <c r="Q51" s="30">
        <f>_xlfn.XLOOKUP(TournamentData[[#This Row],[Team Number]],CoreValuesResults[Team Number],CoreValuesResults[Inspiration Selection],0,0,)</f>
        <v>0</v>
      </c>
      <c r="R51" s="30">
        <f>_xlfn.XLOOKUP(TournamentData[[#This Row],[Team Number]],CoreValuesResults[Team Number],CoreValuesResults[Rising All-Star Selection],0,0,)</f>
        <v>0</v>
      </c>
      <c r="S5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51" s="31"/>
      <c r="U51" s="31"/>
      <c r="V51" s="32"/>
      <c r="W51" s="91">
        <f>_xlfn.XLOOKUP(TournamentData[[#This Row],[Team Number]],CoreValuesResults[Team Number],CoreValuesResults[Core Values Score],0,0,)</f>
        <v>0</v>
      </c>
      <c r="X51" s="91">
        <f>_xlfn.XLOOKUP(TournamentData[[#This Row],[Team Number]],InnovationProjectResults[Team Number],InnovationProjectResults[Innovation Project Score],0,0,)</f>
        <v>0</v>
      </c>
      <c r="Y51" s="91">
        <f>_xlfn.XLOOKUP(TournamentData[[#This Row],[Team Number]],RobotDesignResults[Team Number],RobotDesignResults[Engineering Design Score],0,0,)</f>
        <v>0</v>
      </c>
      <c r="Z5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51" s="93">
        <f t="shared" si="1"/>
        <v>8</v>
      </c>
      <c r="AB51" s="31"/>
    </row>
    <row r="52" spans="1:28" ht="21" customHeight="1" x14ac:dyDescent="0.25">
      <c r="A52">
        <f>_xlfn.XLOOKUP(50,OfficialTeamList[Row],OfficialTeamList[Team Number],"ERROR",0)</f>
        <v>0</v>
      </c>
      <c r="B52" s="27" t="str">
        <f>_xlfn.XLOOKUP(TournamentData[[#This Row],[Team Number]],OfficialTeamList[Team Number],OfficialTeamList[Team Name],"",0,)</f>
        <v/>
      </c>
      <c r="C52" s="28">
        <f>IF(TournamentData[[#This Row],[Team Number]]="","",_xlfn.XLOOKUP(TournamentData[[#This Row],[Team Number]],RobotGameScores[Team Number],RobotGameScores[Match 1 Score],0,0,))</f>
        <v>0</v>
      </c>
      <c r="D52" s="28">
        <f>IF(TournamentData[[#This Row],[Team Number]]="","",_xlfn.XLOOKUP(TournamentData[[#This Row],[Team Number]],RobotGameScores[Team Number],RobotGameScores[Match 2 Score],0,0,))</f>
        <v>0</v>
      </c>
      <c r="E52" s="28">
        <f>IF(TournamentData[[#This Row],[Team Number]]="","",_xlfn.XLOOKUP(TournamentData[[#This Row],[Team Number]],RobotGameScores[Team Number],RobotGameScores[Match 3 Score],0,0,))</f>
        <v>0</v>
      </c>
      <c r="F52" s="28">
        <f>IF(TournamentData[[#This Row],[Team Number]]="","",_xlfn.XLOOKUP(TournamentData[[#This Row],[Team Number]],RobotGameScores[Team Number],RobotGameScores[Match 4 Score],0,0,))</f>
        <v>0</v>
      </c>
      <c r="G52" s="28">
        <f>IF(TournamentData[[#This Row],[Team Number]]="","",_xlfn.XLOOKUP(TournamentData[[#This Row],[Team Number]],RobotGameScores[Team Number],RobotGameScores[Match 5 Score],0,0,))</f>
        <v>0</v>
      </c>
      <c r="H52" s="28" t="str">
        <f>IF(TournamentData[[#This Row],[Team Name]]="","",_xlfn.XLOOKUP(TournamentData[[#This Row],[Team Name]],RobotGameScores[Team Name],RobotGameScores[Match 6 Score],0,0,))</f>
        <v/>
      </c>
      <c r="I52" s="28">
        <v>0</v>
      </c>
      <c r="J52" s="28">
        <f>SUM(TournamentData[[#This Row],[Match Score 1]:[Match Score 6]])/NumberOfRounds</f>
        <v>0</v>
      </c>
      <c r="K52" s="60">
        <f>IF(TournamentData[[#This Row],[Team Number]]="","",1+COUNTIFS($J$3:$J$201,"&gt;"&amp;J52)+COUNTIFS($J$3:$J$201,J52,$I$3:$I$201,"&gt;"&amp;I52))</f>
        <v>9</v>
      </c>
      <c r="L52" s="28">
        <f>IF(TournamentData[[#This Row],[Team Number]]="","",_xlfn.XLOOKUP(TournamentData[[#This Row],[Team Number]],CoreValuesResults[Team Number],CoreValuesResults[Core Values Rank],NumberOfTeams+1,0,))</f>
        <v>9</v>
      </c>
      <c r="M52" s="28">
        <f>IF(TournamentData[[#This Row],[Team Number]]="","",_xlfn.XLOOKUP(TournamentData[[#This Row],[Team Number]],InnovationProjectResults[Team Number],InnovationProjectResults[Innovation Project Rank],NumberOfTeams+1,0,))</f>
        <v>9</v>
      </c>
      <c r="N52" s="28">
        <f>IF(TournamentData[[#This Row],[Team Number]]="","",_xlfn.XLOOKUP(TournamentData[[#This Row],[Team Number]],RobotDesignResults[Team Number],RobotDesignResults[Engineering Design Rank],NumberOfTeams+1,0,))</f>
        <v>9</v>
      </c>
      <c r="O5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52" s="29">
        <f>IF(TournamentData[[#This Row],[Team Number]]="","",IF(O52,RANK(O52,O$3:O$202,1)-COUNTIF(O$3:O$202,0),NumberOfTeams+1))</f>
        <v>9</v>
      </c>
      <c r="Q52" s="30">
        <f>_xlfn.XLOOKUP(TournamentData[[#This Row],[Team Number]],CoreValuesResults[Team Number],CoreValuesResults[Inspiration Selection],0,0,)</f>
        <v>0</v>
      </c>
      <c r="R52" s="33">
        <f>_xlfn.XLOOKUP(TournamentData[[#This Row],[Team Number]],CoreValuesResults[Team Number],CoreValuesResults[Rising All-Star Selection],0,0,)</f>
        <v>0</v>
      </c>
      <c r="S5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52" s="31"/>
      <c r="U52" s="31"/>
      <c r="V52" s="32"/>
      <c r="W52" s="91">
        <f>_xlfn.XLOOKUP(TournamentData[[#This Row],[Team Number]],CoreValuesResults[Team Number],CoreValuesResults[Core Values Score],0,0,)</f>
        <v>0</v>
      </c>
      <c r="X52" s="91">
        <f>_xlfn.XLOOKUP(TournamentData[[#This Row],[Team Number]],InnovationProjectResults[Team Number],InnovationProjectResults[Innovation Project Score],0,0,)</f>
        <v>0</v>
      </c>
      <c r="Y52" s="91">
        <f>_xlfn.XLOOKUP(TournamentData[[#This Row],[Team Number]],RobotDesignResults[Team Number],RobotDesignResults[Engineering Design Score],0,0,)</f>
        <v>0</v>
      </c>
      <c r="Z5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52" s="93">
        <f t="shared" si="1"/>
        <v>8</v>
      </c>
      <c r="AB52" s="31"/>
    </row>
    <row r="53" spans="1:28" ht="21" customHeight="1" x14ac:dyDescent="0.25">
      <c r="A53">
        <f>_xlfn.XLOOKUP(51,OfficialTeamList[Row],OfficialTeamList[Team Number],"ERROR",0)</f>
        <v>0</v>
      </c>
      <c r="B53" s="27" t="str">
        <f>_xlfn.XLOOKUP(TournamentData[[#This Row],[Team Number]],OfficialTeamList[Team Number],OfficialTeamList[Team Name],"",0,)</f>
        <v/>
      </c>
      <c r="C53" s="28">
        <f>IF(TournamentData[[#This Row],[Team Number]]="","",_xlfn.XLOOKUP(TournamentData[[#This Row],[Team Number]],RobotGameScores[Team Number],RobotGameScores[Match 1 Score],0,0,))</f>
        <v>0</v>
      </c>
      <c r="D53" s="28">
        <f>IF(TournamentData[[#This Row],[Team Number]]="","",_xlfn.XLOOKUP(TournamentData[[#This Row],[Team Number]],RobotGameScores[Team Number],RobotGameScores[Match 2 Score],0,0,))</f>
        <v>0</v>
      </c>
      <c r="E53" s="28">
        <f>IF(TournamentData[[#This Row],[Team Number]]="","",_xlfn.XLOOKUP(TournamentData[[#This Row],[Team Number]],RobotGameScores[Team Number],RobotGameScores[Match 3 Score],0,0,))</f>
        <v>0</v>
      </c>
      <c r="F53" s="28">
        <f>IF(TournamentData[[#This Row],[Team Number]]="","",_xlfn.XLOOKUP(TournamentData[[#This Row],[Team Number]],RobotGameScores[Team Number],RobotGameScores[Match 4 Score],0,0,))</f>
        <v>0</v>
      </c>
      <c r="G53" s="28">
        <f>IF(TournamentData[[#This Row],[Team Number]]="","",_xlfn.XLOOKUP(TournamentData[[#This Row],[Team Number]],RobotGameScores[Team Number],RobotGameScores[Match 5 Score],0,0,))</f>
        <v>0</v>
      </c>
      <c r="H53" s="28" t="str">
        <f>IF(TournamentData[[#This Row],[Team Name]]="","",_xlfn.XLOOKUP(TournamentData[[#This Row],[Team Name]],RobotGameScores[Team Name],RobotGameScores[Match 6 Score],0,0,))</f>
        <v/>
      </c>
      <c r="I53" s="28">
        <v>0</v>
      </c>
      <c r="J53" s="28">
        <f>SUM(TournamentData[[#This Row],[Match Score 1]:[Match Score 6]])/NumberOfRounds</f>
        <v>0</v>
      </c>
      <c r="K53" s="59">
        <f>IF(TournamentData[[#This Row],[Team Number]]="","",1+COUNTIFS($J$3:$J$201,"&gt;"&amp;J53)+COUNTIFS($J$3:$J$201,J53,$I$3:$I$201,"&gt;"&amp;I53))</f>
        <v>9</v>
      </c>
      <c r="L53" s="28">
        <f>IF(TournamentData[[#This Row],[Team Number]]="","",_xlfn.XLOOKUP(TournamentData[[#This Row],[Team Number]],CoreValuesResults[Team Number],CoreValuesResults[Core Values Rank],NumberOfTeams+1,0,))</f>
        <v>9</v>
      </c>
      <c r="M53" s="28">
        <f>IF(TournamentData[[#This Row],[Team Number]]="","",_xlfn.XLOOKUP(TournamentData[[#This Row],[Team Number]],InnovationProjectResults[Team Number],InnovationProjectResults[Innovation Project Rank],NumberOfTeams+1,0,))</f>
        <v>9</v>
      </c>
      <c r="N53" s="28">
        <f>IF(TournamentData[[#This Row],[Team Number]]="","",_xlfn.XLOOKUP(TournamentData[[#This Row],[Team Number]],RobotDesignResults[Team Number],RobotDesignResults[Engineering Design Rank],NumberOfTeams+1,0,))</f>
        <v>9</v>
      </c>
      <c r="O5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53" s="29">
        <f>IF(TournamentData[[#This Row],[Team Number]]="","",IF(O53,RANK(O53,O$3:O$202,1)-COUNTIF(O$3:O$202,0),NumberOfTeams+1))</f>
        <v>9</v>
      </c>
      <c r="Q53" s="30">
        <f>_xlfn.XLOOKUP(TournamentData[[#This Row],[Team Number]],CoreValuesResults[Team Number],CoreValuesResults[Inspiration Selection],0,0,)</f>
        <v>0</v>
      </c>
      <c r="R53" s="30">
        <f>_xlfn.XLOOKUP(TournamentData[[#This Row],[Team Number]],CoreValuesResults[Team Number],CoreValuesResults[Rising All-Star Selection],0,0,)</f>
        <v>0</v>
      </c>
      <c r="S5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53" s="31"/>
      <c r="U53" s="31"/>
      <c r="V53" s="32"/>
      <c r="W53" s="91">
        <f>_xlfn.XLOOKUP(TournamentData[[#This Row],[Team Number]],CoreValuesResults[Team Number],CoreValuesResults[Core Values Score],0,0,)</f>
        <v>0</v>
      </c>
      <c r="X53" s="91">
        <f>_xlfn.XLOOKUP(TournamentData[[#This Row],[Team Number]],InnovationProjectResults[Team Number],InnovationProjectResults[Innovation Project Score],0,0,)</f>
        <v>0</v>
      </c>
      <c r="Y53" s="91">
        <f>_xlfn.XLOOKUP(TournamentData[[#This Row],[Team Number]],RobotDesignResults[Team Number],RobotDesignResults[Engineering Design Score],0,0,)</f>
        <v>0</v>
      </c>
      <c r="Z5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53" s="93">
        <f t="shared" si="1"/>
        <v>8</v>
      </c>
      <c r="AB53" s="31"/>
    </row>
    <row r="54" spans="1:28" ht="21" customHeight="1" x14ac:dyDescent="0.25">
      <c r="A54">
        <f>_xlfn.XLOOKUP(52,OfficialTeamList[Row],OfficialTeamList[Team Number],"ERROR",0)</f>
        <v>0</v>
      </c>
      <c r="B54" s="27" t="str">
        <f>_xlfn.XLOOKUP(TournamentData[[#This Row],[Team Number]],OfficialTeamList[Team Number],OfficialTeamList[Team Name],"",0,)</f>
        <v/>
      </c>
      <c r="C54" s="28">
        <f>IF(TournamentData[[#This Row],[Team Number]]="","",_xlfn.XLOOKUP(TournamentData[[#This Row],[Team Number]],RobotGameScores[Team Number],RobotGameScores[Match 1 Score],0,0,))</f>
        <v>0</v>
      </c>
      <c r="D54" s="28">
        <f>IF(TournamentData[[#This Row],[Team Number]]="","",_xlfn.XLOOKUP(TournamentData[[#This Row],[Team Number]],RobotGameScores[Team Number],RobotGameScores[Match 2 Score],0,0,))</f>
        <v>0</v>
      </c>
      <c r="E54" s="28">
        <f>IF(TournamentData[[#This Row],[Team Number]]="","",_xlfn.XLOOKUP(TournamentData[[#This Row],[Team Number]],RobotGameScores[Team Number],RobotGameScores[Match 3 Score],0,0,))</f>
        <v>0</v>
      </c>
      <c r="F54" s="28">
        <f>IF(TournamentData[[#This Row],[Team Number]]="","",_xlfn.XLOOKUP(TournamentData[[#This Row],[Team Number]],RobotGameScores[Team Number],RobotGameScores[Match 4 Score],0,0,))</f>
        <v>0</v>
      </c>
      <c r="G54" s="28">
        <f>IF(TournamentData[[#This Row],[Team Number]]="","",_xlfn.XLOOKUP(TournamentData[[#This Row],[Team Number]],RobotGameScores[Team Number],RobotGameScores[Match 5 Score],0,0,))</f>
        <v>0</v>
      </c>
      <c r="H54" s="28" t="str">
        <f>IF(TournamentData[[#This Row],[Team Name]]="","",_xlfn.XLOOKUP(TournamentData[[#This Row],[Team Name]],RobotGameScores[Team Name],RobotGameScores[Match 6 Score],0,0,))</f>
        <v/>
      </c>
      <c r="I54" s="28">
        <v>0</v>
      </c>
      <c r="J54" s="28">
        <f>SUM(TournamentData[[#This Row],[Match Score 1]:[Match Score 6]])/NumberOfRounds</f>
        <v>0</v>
      </c>
      <c r="K54" s="60">
        <f>IF(TournamentData[[#This Row],[Team Number]]="","",1+COUNTIFS($J$3:$J$201,"&gt;"&amp;J54)+COUNTIFS($J$3:$J$201,J54,$I$3:$I$201,"&gt;"&amp;I54))</f>
        <v>9</v>
      </c>
      <c r="L54" s="28">
        <f>IF(TournamentData[[#This Row],[Team Number]]="","",_xlfn.XLOOKUP(TournamentData[[#This Row],[Team Number]],CoreValuesResults[Team Number],CoreValuesResults[Core Values Rank],NumberOfTeams+1,0,))</f>
        <v>9</v>
      </c>
      <c r="M54" s="28">
        <f>IF(TournamentData[[#This Row],[Team Number]]="","",_xlfn.XLOOKUP(TournamentData[[#This Row],[Team Number]],InnovationProjectResults[Team Number],InnovationProjectResults[Innovation Project Rank],NumberOfTeams+1,0,))</f>
        <v>9</v>
      </c>
      <c r="N54" s="28">
        <f>IF(TournamentData[[#This Row],[Team Number]]="","",_xlfn.XLOOKUP(TournamentData[[#This Row],[Team Number]],RobotDesignResults[Team Number],RobotDesignResults[Engineering Design Rank],NumberOfTeams+1,0,))</f>
        <v>9</v>
      </c>
      <c r="O5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54" s="29">
        <f>IF(TournamentData[[#This Row],[Team Number]]="","",IF(O54,RANK(O54,O$3:O$202,1)-COUNTIF(O$3:O$202,0),NumberOfTeams+1))</f>
        <v>9</v>
      </c>
      <c r="Q54" s="30">
        <f>_xlfn.XLOOKUP(TournamentData[[#This Row],[Team Number]],CoreValuesResults[Team Number],CoreValuesResults[Inspiration Selection],0,0,)</f>
        <v>0</v>
      </c>
      <c r="R54" s="30">
        <f>_xlfn.XLOOKUP(TournamentData[[#This Row],[Team Number]],CoreValuesResults[Team Number],CoreValuesResults[Rising All-Star Selection],0,0,)</f>
        <v>0</v>
      </c>
      <c r="S5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54" s="31"/>
      <c r="U54" s="31"/>
      <c r="V54" s="32"/>
      <c r="W54" s="91">
        <f>_xlfn.XLOOKUP(TournamentData[[#This Row],[Team Number]],CoreValuesResults[Team Number],CoreValuesResults[Core Values Score],0,0,)</f>
        <v>0</v>
      </c>
      <c r="X54" s="91">
        <f>_xlfn.XLOOKUP(TournamentData[[#This Row],[Team Number]],InnovationProjectResults[Team Number],InnovationProjectResults[Innovation Project Score],0,0,)</f>
        <v>0</v>
      </c>
      <c r="Y54" s="91">
        <f>_xlfn.XLOOKUP(TournamentData[[#This Row],[Team Number]],RobotDesignResults[Team Number],RobotDesignResults[Engineering Design Score],0,0,)</f>
        <v>0</v>
      </c>
      <c r="Z5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54" s="93">
        <f t="shared" si="1"/>
        <v>8</v>
      </c>
      <c r="AB54" s="31"/>
    </row>
    <row r="55" spans="1:28" ht="21" customHeight="1" x14ac:dyDescent="0.25">
      <c r="A55">
        <f>_xlfn.XLOOKUP(53,OfficialTeamList[Row],OfficialTeamList[Team Number],"ERROR",0)</f>
        <v>0</v>
      </c>
      <c r="B55" s="27" t="str">
        <f>_xlfn.XLOOKUP(TournamentData[[#This Row],[Team Number]],OfficialTeamList[Team Number],OfficialTeamList[Team Name],"",0,)</f>
        <v/>
      </c>
      <c r="C55" s="28">
        <f>IF(TournamentData[[#This Row],[Team Number]]="","",_xlfn.XLOOKUP(TournamentData[[#This Row],[Team Number]],RobotGameScores[Team Number],RobotGameScores[Match 1 Score],0,0,))</f>
        <v>0</v>
      </c>
      <c r="D55" s="28">
        <f>IF(TournamentData[[#This Row],[Team Number]]="","",_xlfn.XLOOKUP(TournamentData[[#This Row],[Team Number]],RobotGameScores[Team Number],RobotGameScores[Match 2 Score],0,0,))</f>
        <v>0</v>
      </c>
      <c r="E55" s="28">
        <f>IF(TournamentData[[#This Row],[Team Number]]="","",_xlfn.XLOOKUP(TournamentData[[#This Row],[Team Number]],RobotGameScores[Team Number],RobotGameScores[Match 3 Score],0,0,))</f>
        <v>0</v>
      </c>
      <c r="F55" s="28">
        <f>IF(TournamentData[[#This Row],[Team Number]]="","",_xlfn.XLOOKUP(TournamentData[[#This Row],[Team Number]],RobotGameScores[Team Number],RobotGameScores[Match 4 Score],0,0,))</f>
        <v>0</v>
      </c>
      <c r="G55" s="28">
        <f>IF(TournamentData[[#This Row],[Team Number]]="","",_xlfn.XLOOKUP(TournamentData[[#This Row],[Team Number]],RobotGameScores[Team Number],RobotGameScores[Match 5 Score],0,0,))</f>
        <v>0</v>
      </c>
      <c r="H55" s="28" t="str">
        <f>IF(TournamentData[[#This Row],[Team Name]]="","",_xlfn.XLOOKUP(TournamentData[[#This Row],[Team Name]],RobotGameScores[Team Name],RobotGameScores[Match 6 Score],0,0,))</f>
        <v/>
      </c>
      <c r="I55" s="28">
        <v>0</v>
      </c>
      <c r="J55" s="28">
        <f>SUM(TournamentData[[#This Row],[Match Score 1]:[Match Score 6]])/NumberOfRounds</f>
        <v>0</v>
      </c>
      <c r="K55" s="59">
        <f>IF(TournamentData[[#This Row],[Team Number]]="","",1+COUNTIFS($J$3:$J$201,"&gt;"&amp;J55)+COUNTIFS($J$3:$J$201,J55,$I$3:$I$201,"&gt;"&amp;I55))</f>
        <v>9</v>
      </c>
      <c r="L55" s="28">
        <f>IF(TournamentData[[#This Row],[Team Number]]="","",_xlfn.XLOOKUP(TournamentData[[#This Row],[Team Number]],CoreValuesResults[Team Number],CoreValuesResults[Core Values Rank],NumberOfTeams+1,0,))</f>
        <v>9</v>
      </c>
      <c r="M55" s="28">
        <f>IF(TournamentData[[#This Row],[Team Number]]="","",_xlfn.XLOOKUP(TournamentData[[#This Row],[Team Number]],InnovationProjectResults[Team Number],InnovationProjectResults[Innovation Project Rank],NumberOfTeams+1,0,))</f>
        <v>9</v>
      </c>
      <c r="N55" s="28">
        <f>IF(TournamentData[[#This Row],[Team Number]]="","",_xlfn.XLOOKUP(TournamentData[[#This Row],[Team Number]],RobotDesignResults[Team Number],RobotDesignResults[Engineering Design Rank],NumberOfTeams+1,0,))</f>
        <v>9</v>
      </c>
      <c r="O5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55" s="29">
        <f>IF(TournamentData[[#This Row],[Team Number]]="","",IF(O55,RANK(O55,O$3:O$202,1)-COUNTIF(O$3:O$202,0),NumberOfTeams+1))</f>
        <v>9</v>
      </c>
      <c r="Q55" s="30">
        <f>_xlfn.XLOOKUP(TournamentData[[#This Row],[Team Number]],CoreValuesResults[Team Number],CoreValuesResults[Inspiration Selection],0,0,)</f>
        <v>0</v>
      </c>
      <c r="R55" s="30">
        <f>_xlfn.XLOOKUP(TournamentData[[#This Row],[Team Number]],CoreValuesResults[Team Number],CoreValuesResults[Rising All-Star Selection],0,0,)</f>
        <v>0</v>
      </c>
      <c r="S5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55" s="31"/>
      <c r="U55" s="31"/>
      <c r="V55" s="32"/>
      <c r="W55" s="91">
        <f>_xlfn.XLOOKUP(TournamentData[[#This Row],[Team Number]],CoreValuesResults[Team Number],CoreValuesResults[Core Values Score],0,0,)</f>
        <v>0</v>
      </c>
      <c r="X55" s="91">
        <f>_xlfn.XLOOKUP(TournamentData[[#This Row],[Team Number]],InnovationProjectResults[Team Number],InnovationProjectResults[Innovation Project Score],0,0,)</f>
        <v>0</v>
      </c>
      <c r="Y55" s="91">
        <f>_xlfn.XLOOKUP(TournamentData[[#This Row],[Team Number]],RobotDesignResults[Team Number],RobotDesignResults[Engineering Design Score],0,0,)</f>
        <v>0</v>
      </c>
      <c r="Z5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55" s="93">
        <f t="shared" si="1"/>
        <v>8</v>
      </c>
      <c r="AB55" s="31"/>
    </row>
    <row r="56" spans="1:28" ht="21" customHeight="1" x14ac:dyDescent="0.25">
      <c r="A56">
        <f>_xlfn.XLOOKUP(54,OfficialTeamList[Row],OfficialTeamList[Team Number],"ERROR",0)</f>
        <v>0</v>
      </c>
      <c r="B56" s="27" t="str">
        <f>_xlfn.XLOOKUP(TournamentData[[#This Row],[Team Number]],OfficialTeamList[Team Number],OfficialTeamList[Team Name],"",0,)</f>
        <v/>
      </c>
      <c r="C56" s="28">
        <f>IF(TournamentData[[#This Row],[Team Number]]="","",_xlfn.XLOOKUP(TournamentData[[#This Row],[Team Number]],RobotGameScores[Team Number],RobotGameScores[Match 1 Score],0,0,))</f>
        <v>0</v>
      </c>
      <c r="D56" s="28">
        <f>IF(TournamentData[[#This Row],[Team Number]]="","",_xlfn.XLOOKUP(TournamentData[[#This Row],[Team Number]],RobotGameScores[Team Number],RobotGameScores[Match 2 Score],0,0,))</f>
        <v>0</v>
      </c>
      <c r="E56" s="28">
        <f>IF(TournamentData[[#This Row],[Team Number]]="","",_xlfn.XLOOKUP(TournamentData[[#This Row],[Team Number]],RobotGameScores[Team Number],RobotGameScores[Match 3 Score],0,0,))</f>
        <v>0</v>
      </c>
      <c r="F56" s="28">
        <f>IF(TournamentData[[#This Row],[Team Number]]="","",_xlfn.XLOOKUP(TournamentData[[#This Row],[Team Number]],RobotGameScores[Team Number],RobotGameScores[Match 4 Score],0,0,))</f>
        <v>0</v>
      </c>
      <c r="G56" s="28">
        <f>IF(TournamentData[[#This Row],[Team Number]]="","",_xlfn.XLOOKUP(TournamentData[[#This Row],[Team Number]],RobotGameScores[Team Number],RobotGameScores[Match 5 Score],0,0,))</f>
        <v>0</v>
      </c>
      <c r="H56" s="28" t="str">
        <f>IF(TournamentData[[#This Row],[Team Name]]="","",_xlfn.XLOOKUP(TournamentData[[#This Row],[Team Name]],RobotGameScores[Team Name],RobotGameScores[Match 6 Score],0,0,))</f>
        <v/>
      </c>
      <c r="I56" s="28">
        <v>0</v>
      </c>
      <c r="J56" s="28">
        <f>SUM(TournamentData[[#This Row],[Match Score 1]:[Match Score 6]])/NumberOfRounds</f>
        <v>0</v>
      </c>
      <c r="K56" s="60">
        <f>IF(TournamentData[[#This Row],[Team Number]]="","",1+COUNTIFS($J$3:$J$201,"&gt;"&amp;J56)+COUNTIFS($J$3:$J$201,J56,$I$3:$I$201,"&gt;"&amp;I56))</f>
        <v>9</v>
      </c>
      <c r="L56" s="28">
        <f>IF(TournamentData[[#This Row],[Team Number]]="","",_xlfn.XLOOKUP(TournamentData[[#This Row],[Team Number]],CoreValuesResults[Team Number],CoreValuesResults[Core Values Rank],NumberOfTeams+1,0,))</f>
        <v>9</v>
      </c>
      <c r="M56" s="28">
        <f>IF(TournamentData[[#This Row],[Team Number]]="","",_xlfn.XLOOKUP(TournamentData[[#This Row],[Team Number]],InnovationProjectResults[Team Number],InnovationProjectResults[Innovation Project Rank],NumberOfTeams+1,0,))</f>
        <v>9</v>
      </c>
      <c r="N56" s="28">
        <f>IF(TournamentData[[#This Row],[Team Number]]="","",_xlfn.XLOOKUP(TournamentData[[#This Row],[Team Number]],RobotDesignResults[Team Number],RobotDesignResults[Engineering Design Rank],NumberOfTeams+1,0,))</f>
        <v>9</v>
      </c>
      <c r="O5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56" s="29">
        <f>IF(TournamentData[[#This Row],[Team Number]]="","",IF(O56,RANK(O56,O$3:O$202,1)-COUNTIF(O$3:O$202,0),NumberOfTeams+1))</f>
        <v>9</v>
      </c>
      <c r="Q56" s="30">
        <f>_xlfn.XLOOKUP(TournamentData[[#This Row],[Team Number]],CoreValuesResults[Team Number],CoreValuesResults[Inspiration Selection],0,0,)</f>
        <v>0</v>
      </c>
      <c r="R56" s="30">
        <f>_xlfn.XLOOKUP(TournamentData[[#This Row],[Team Number]],CoreValuesResults[Team Number],CoreValuesResults[Rising All-Star Selection],0,0,)</f>
        <v>0</v>
      </c>
      <c r="S5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56" s="31"/>
      <c r="U56" s="31"/>
      <c r="V56" s="32"/>
      <c r="W56" s="91">
        <f>_xlfn.XLOOKUP(TournamentData[[#This Row],[Team Number]],CoreValuesResults[Team Number],CoreValuesResults[Core Values Score],0,0,)</f>
        <v>0</v>
      </c>
      <c r="X56" s="91">
        <f>_xlfn.XLOOKUP(TournamentData[[#This Row],[Team Number]],InnovationProjectResults[Team Number],InnovationProjectResults[Innovation Project Score],0,0,)</f>
        <v>0</v>
      </c>
      <c r="Y56" s="91">
        <f>_xlfn.XLOOKUP(TournamentData[[#This Row],[Team Number]],RobotDesignResults[Team Number],RobotDesignResults[Engineering Design Score],0,0,)</f>
        <v>0</v>
      </c>
      <c r="Z5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56" s="93">
        <f t="shared" si="1"/>
        <v>8</v>
      </c>
      <c r="AB56" s="31"/>
    </row>
    <row r="57" spans="1:28" ht="21" customHeight="1" x14ac:dyDescent="0.25">
      <c r="A57">
        <f>_xlfn.XLOOKUP(55,OfficialTeamList[Row],OfficialTeamList[Team Number],"ERROR",0)</f>
        <v>0</v>
      </c>
      <c r="B57" s="27" t="str">
        <f>_xlfn.XLOOKUP(TournamentData[[#This Row],[Team Number]],OfficialTeamList[Team Number],OfficialTeamList[Team Name],"",0,)</f>
        <v/>
      </c>
      <c r="C57" s="28">
        <f>IF(TournamentData[[#This Row],[Team Number]]="","",_xlfn.XLOOKUP(TournamentData[[#This Row],[Team Number]],RobotGameScores[Team Number],RobotGameScores[Match 1 Score],0,0,))</f>
        <v>0</v>
      </c>
      <c r="D57" s="28">
        <f>IF(TournamentData[[#This Row],[Team Number]]="","",_xlfn.XLOOKUP(TournamentData[[#This Row],[Team Number]],RobotGameScores[Team Number],RobotGameScores[Match 2 Score],0,0,))</f>
        <v>0</v>
      </c>
      <c r="E57" s="28">
        <f>IF(TournamentData[[#This Row],[Team Number]]="","",_xlfn.XLOOKUP(TournamentData[[#This Row],[Team Number]],RobotGameScores[Team Number],RobotGameScores[Match 3 Score],0,0,))</f>
        <v>0</v>
      </c>
      <c r="F57" s="28">
        <f>IF(TournamentData[[#This Row],[Team Number]]="","",_xlfn.XLOOKUP(TournamentData[[#This Row],[Team Number]],RobotGameScores[Team Number],RobotGameScores[Match 4 Score],0,0,))</f>
        <v>0</v>
      </c>
      <c r="G57" s="28">
        <f>IF(TournamentData[[#This Row],[Team Number]]="","",_xlfn.XLOOKUP(TournamentData[[#This Row],[Team Number]],RobotGameScores[Team Number],RobotGameScores[Match 5 Score],0,0,))</f>
        <v>0</v>
      </c>
      <c r="H57" s="28" t="str">
        <f>IF(TournamentData[[#This Row],[Team Name]]="","",_xlfn.XLOOKUP(TournamentData[[#This Row],[Team Name]],RobotGameScores[Team Name],RobotGameScores[Match 6 Score],0,0,))</f>
        <v/>
      </c>
      <c r="I57" s="28">
        <v>0</v>
      </c>
      <c r="J57" s="28">
        <f>SUM(TournamentData[[#This Row],[Match Score 1]:[Match Score 6]])/NumberOfRounds</f>
        <v>0</v>
      </c>
      <c r="K57" s="59">
        <f>IF(TournamentData[[#This Row],[Team Number]]="","",1+COUNTIFS($J$3:$J$201,"&gt;"&amp;J57)+COUNTIFS($J$3:$J$201,J57,$I$3:$I$201,"&gt;"&amp;I57))</f>
        <v>9</v>
      </c>
      <c r="L57" s="28">
        <f>IF(TournamentData[[#This Row],[Team Number]]="","",_xlfn.XLOOKUP(TournamentData[[#This Row],[Team Number]],CoreValuesResults[Team Number],CoreValuesResults[Core Values Rank],NumberOfTeams+1,0,))</f>
        <v>9</v>
      </c>
      <c r="M57" s="28">
        <f>IF(TournamentData[[#This Row],[Team Number]]="","",_xlfn.XLOOKUP(TournamentData[[#This Row],[Team Number]],InnovationProjectResults[Team Number],InnovationProjectResults[Innovation Project Rank],NumberOfTeams+1,0,))</f>
        <v>9</v>
      </c>
      <c r="N57" s="28">
        <f>IF(TournamentData[[#This Row],[Team Number]]="","",_xlfn.XLOOKUP(TournamentData[[#This Row],[Team Number]],RobotDesignResults[Team Number],RobotDesignResults[Engineering Design Rank],NumberOfTeams+1,0,))</f>
        <v>9</v>
      </c>
      <c r="O5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57" s="29">
        <f>IF(TournamentData[[#This Row],[Team Number]]="","",IF(O57,RANK(O57,O$3:O$202,1)-COUNTIF(O$3:O$202,0),NumberOfTeams+1))</f>
        <v>9</v>
      </c>
      <c r="Q57" s="30">
        <f>_xlfn.XLOOKUP(TournamentData[[#This Row],[Team Number]],CoreValuesResults[Team Number],CoreValuesResults[Inspiration Selection],0,0,)</f>
        <v>0</v>
      </c>
      <c r="R57" s="30">
        <f>_xlfn.XLOOKUP(TournamentData[[#This Row],[Team Number]],CoreValuesResults[Team Number],CoreValuesResults[Rising All-Star Selection],0,0,)</f>
        <v>0</v>
      </c>
      <c r="S5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57" s="31"/>
      <c r="U57" s="31"/>
      <c r="V57" s="32"/>
      <c r="W57" s="91">
        <f>_xlfn.XLOOKUP(TournamentData[[#This Row],[Team Number]],CoreValuesResults[Team Number],CoreValuesResults[Core Values Score],0,0,)</f>
        <v>0</v>
      </c>
      <c r="X57" s="91">
        <f>_xlfn.XLOOKUP(TournamentData[[#This Row],[Team Number]],InnovationProjectResults[Team Number],InnovationProjectResults[Innovation Project Score],0,0,)</f>
        <v>0</v>
      </c>
      <c r="Y57" s="91">
        <f>_xlfn.XLOOKUP(TournamentData[[#This Row],[Team Number]],RobotDesignResults[Team Number],RobotDesignResults[Engineering Design Score],0,0,)</f>
        <v>0</v>
      </c>
      <c r="Z5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57" s="93">
        <f t="shared" si="1"/>
        <v>8</v>
      </c>
      <c r="AB57" s="31"/>
    </row>
    <row r="58" spans="1:28" ht="21" customHeight="1" x14ac:dyDescent="0.25">
      <c r="A58">
        <f>_xlfn.XLOOKUP(56,OfficialTeamList[Row],OfficialTeamList[Team Number],"ERROR",0)</f>
        <v>0</v>
      </c>
      <c r="B58" s="27" t="str">
        <f>_xlfn.XLOOKUP(TournamentData[[#This Row],[Team Number]],OfficialTeamList[Team Number],OfficialTeamList[Team Name],"",0,)</f>
        <v/>
      </c>
      <c r="C58" s="28">
        <f>IF(TournamentData[[#This Row],[Team Number]]="","",_xlfn.XLOOKUP(TournamentData[[#This Row],[Team Number]],RobotGameScores[Team Number],RobotGameScores[Match 1 Score],0,0,))</f>
        <v>0</v>
      </c>
      <c r="D58" s="28">
        <f>IF(TournamentData[[#This Row],[Team Number]]="","",_xlfn.XLOOKUP(TournamentData[[#This Row],[Team Number]],RobotGameScores[Team Number],RobotGameScores[Match 2 Score],0,0,))</f>
        <v>0</v>
      </c>
      <c r="E58" s="28">
        <f>IF(TournamentData[[#This Row],[Team Number]]="","",_xlfn.XLOOKUP(TournamentData[[#This Row],[Team Number]],RobotGameScores[Team Number],RobotGameScores[Match 3 Score],0,0,))</f>
        <v>0</v>
      </c>
      <c r="F58" s="28">
        <f>IF(TournamentData[[#This Row],[Team Number]]="","",_xlfn.XLOOKUP(TournamentData[[#This Row],[Team Number]],RobotGameScores[Team Number],RobotGameScores[Match 4 Score],0,0,))</f>
        <v>0</v>
      </c>
      <c r="G58" s="28">
        <f>IF(TournamentData[[#This Row],[Team Number]]="","",_xlfn.XLOOKUP(TournamentData[[#This Row],[Team Number]],RobotGameScores[Team Number],RobotGameScores[Match 5 Score],0,0,))</f>
        <v>0</v>
      </c>
      <c r="H58" s="28" t="str">
        <f>IF(TournamentData[[#This Row],[Team Name]]="","",_xlfn.XLOOKUP(TournamentData[[#This Row],[Team Name]],RobotGameScores[Team Name],RobotGameScores[Match 6 Score],0,0,))</f>
        <v/>
      </c>
      <c r="I58" s="28">
        <v>0</v>
      </c>
      <c r="J58" s="28">
        <f>SUM(TournamentData[[#This Row],[Match Score 1]:[Match Score 6]])/NumberOfRounds</f>
        <v>0</v>
      </c>
      <c r="K58" s="60">
        <f>IF(TournamentData[[#This Row],[Team Number]]="","",1+COUNTIFS($J$3:$J$201,"&gt;"&amp;J58)+COUNTIFS($J$3:$J$201,J58,$I$3:$I$201,"&gt;"&amp;I58))</f>
        <v>9</v>
      </c>
      <c r="L58" s="28">
        <f>IF(TournamentData[[#This Row],[Team Number]]="","",_xlfn.XLOOKUP(TournamentData[[#This Row],[Team Number]],CoreValuesResults[Team Number],CoreValuesResults[Core Values Rank],NumberOfTeams+1,0,))</f>
        <v>9</v>
      </c>
      <c r="M58" s="28">
        <f>IF(TournamentData[[#This Row],[Team Number]]="","",_xlfn.XLOOKUP(TournamentData[[#This Row],[Team Number]],InnovationProjectResults[Team Number],InnovationProjectResults[Innovation Project Rank],NumberOfTeams+1,0,))</f>
        <v>9</v>
      </c>
      <c r="N58" s="28">
        <f>IF(TournamentData[[#This Row],[Team Number]]="","",_xlfn.XLOOKUP(TournamentData[[#This Row],[Team Number]],RobotDesignResults[Team Number],RobotDesignResults[Engineering Design Rank],NumberOfTeams+1,0,))</f>
        <v>9</v>
      </c>
      <c r="O5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58" s="29">
        <f>IF(TournamentData[[#This Row],[Team Number]]="","",IF(O58,RANK(O58,O$3:O$202,1)-COUNTIF(O$3:O$202,0),NumberOfTeams+1))</f>
        <v>9</v>
      </c>
      <c r="Q58" s="30">
        <f>_xlfn.XLOOKUP(TournamentData[[#This Row],[Team Number]],CoreValuesResults[Team Number],CoreValuesResults[Inspiration Selection],0,0,)</f>
        <v>0</v>
      </c>
      <c r="R58" s="30">
        <f>_xlfn.XLOOKUP(TournamentData[[#This Row],[Team Number]],CoreValuesResults[Team Number],CoreValuesResults[Rising All-Star Selection],0,0,)</f>
        <v>0</v>
      </c>
      <c r="S5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58" s="31"/>
      <c r="U58" s="31"/>
      <c r="V58" s="32"/>
      <c r="W58" s="91">
        <f>_xlfn.XLOOKUP(TournamentData[[#This Row],[Team Number]],CoreValuesResults[Team Number],CoreValuesResults[Core Values Score],0,0,)</f>
        <v>0</v>
      </c>
      <c r="X58" s="91">
        <f>_xlfn.XLOOKUP(TournamentData[[#This Row],[Team Number]],InnovationProjectResults[Team Number],InnovationProjectResults[Innovation Project Score],0,0,)</f>
        <v>0</v>
      </c>
      <c r="Y58" s="91">
        <f>_xlfn.XLOOKUP(TournamentData[[#This Row],[Team Number]],RobotDesignResults[Team Number],RobotDesignResults[Engineering Design Score],0,0,)</f>
        <v>0</v>
      </c>
      <c r="Z5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58" s="93">
        <f t="shared" si="1"/>
        <v>8</v>
      </c>
      <c r="AB58" s="31"/>
    </row>
    <row r="59" spans="1:28" ht="21" customHeight="1" x14ac:dyDescent="0.25">
      <c r="A59">
        <f>_xlfn.XLOOKUP(57,OfficialTeamList[Row],OfficialTeamList[Team Number],"ERROR",0)</f>
        <v>0</v>
      </c>
      <c r="B59" s="27" t="str">
        <f>_xlfn.XLOOKUP(TournamentData[[#This Row],[Team Number]],OfficialTeamList[Team Number],OfficialTeamList[Team Name],"",0,)</f>
        <v/>
      </c>
      <c r="C59" s="28">
        <f>IF(TournamentData[[#This Row],[Team Number]]="","",_xlfn.XLOOKUP(TournamentData[[#This Row],[Team Number]],RobotGameScores[Team Number],RobotGameScores[Match 1 Score],0,0,))</f>
        <v>0</v>
      </c>
      <c r="D59" s="28">
        <f>IF(TournamentData[[#This Row],[Team Number]]="","",_xlfn.XLOOKUP(TournamentData[[#This Row],[Team Number]],RobotGameScores[Team Number],RobotGameScores[Match 2 Score],0,0,))</f>
        <v>0</v>
      </c>
      <c r="E59" s="28">
        <f>IF(TournamentData[[#This Row],[Team Number]]="","",_xlfn.XLOOKUP(TournamentData[[#This Row],[Team Number]],RobotGameScores[Team Number],RobotGameScores[Match 3 Score],0,0,))</f>
        <v>0</v>
      </c>
      <c r="F59" s="28">
        <f>IF(TournamentData[[#This Row],[Team Number]]="","",_xlfn.XLOOKUP(TournamentData[[#This Row],[Team Number]],RobotGameScores[Team Number],RobotGameScores[Match 4 Score],0,0,))</f>
        <v>0</v>
      </c>
      <c r="G59" s="28">
        <f>IF(TournamentData[[#This Row],[Team Number]]="","",_xlfn.XLOOKUP(TournamentData[[#This Row],[Team Number]],RobotGameScores[Team Number],RobotGameScores[Match 5 Score],0,0,))</f>
        <v>0</v>
      </c>
      <c r="H59" s="28" t="str">
        <f>IF(TournamentData[[#This Row],[Team Name]]="","",_xlfn.XLOOKUP(TournamentData[[#This Row],[Team Name]],RobotGameScores[Team Name],RobotGameScores[Match 6 Score],0,0,))</f>
        <v/>
      </c>
      <c r="I59" s="28">
        <v>0</v>
      </c>
      <c r="J59" s="28">
        <f>SUM(TournamentData[[#This Row],[Match Score 1]:[Match Score 6]])/NumberOfRounds</f>
        <v>0</v>
      </c>
      <c r="K59" s="59">
        <f>IF(TournamentData[[#This Row],[Team Number]]="","",1+COUNTIFS($J$3:$J$201,"&gt;"&amp;J59)+COUNTIFS($J$3:$J$201,J59,$I$3:$I$201,"&gt;"&amp;I59))</f>
        <v>9</v>
      </c>
      <c r="L59" s="28">
        <f>IF(TournamentData[[#This Row],[Team Number]]="","",_xlfn.XLOOKUP(TournamentData[[#This Row],[Team Number]],CoreValuesResults[Team Number],CoreValuesResults[Core Values Rank],NumberOfTeams+1,0,))</f>
        <v>9</v>
      </c>
      <c r="M59" s="28">
        <f>IF(TournamentData[[#This Row],[Team Number]]="","",_xlfn.XLOOKUP(TournamentData[[#This Row],[Team Number]],InnovationProjectResults[Team Number],InnovationProjectResults[Innovation Project Rank],NumberOfTeams+1,0,))</f>
        <v>9</v>
      </c>
      <c r="N59" s="28">
        <f>IF(TournamentData[[#This Row],[Team Number]]="","",_xlfn.XLOOKUP(TournamentData[[#This Row],[Team Number]],RobotDesignResults[Team Number],RobotDesignResults[Engineering Design Rank],NumberOfTeams+1,0,))</f>
        <v>9</v>
      </c>
      <c r="O5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59" s="29">
        <f>IF(TournamentData[[#This Row],[Team Number]]="","",IF(O59,RANK(O59,O$3:O$202,1)-COUNTIF(O$3:O$202,0),NumberOfTeams+1))</f>
        <v>9</v>
      </c>
      <c r="Q59" s="30">
        <f>_xlfn.XLOOKUP(TournamentData[[#This Row],[Team Number]],CoreValuesResults[Team Number],CoreValuesResults[Inspiration Selection],0,0,)</f>
        <v>0</v>
      </c>
      <c r="R59" s="30">
        <f>_xlfn.XLOOKUP(TournamentData[[#This Row],[Team Number]],CoreValuesResults[Team Number],CoreValuesResults[Rising All-Star Selection],0,0,)</f>
        <v>0</v>
      </c>
      <c r="S5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59" s="31"/>
      <c r="U59" s="31"/>
      <c r="V59" s="32"/>
      <c r="W59" s="91">
        <f>_xlfn.XLOOKUP(TournamentData[[#This Row],[Team Number]],CoreValuesResults[Team Number],CoreValuesResults[Core Values Score],0,0,)</f>
        <v>0</v>
      </c>
      <c r="X59" s="91">
        <f>_xlfn.XLOOKUP(TournamentData[[#This Row],[Team Number]],InnovationProjectResults[Team Number],InnovationProjectResults[Innovation Project Score],0,0,)</f>
        <v>0</v>
      </c>
      <c r="Y59" s="91">
        <f>_xlfn.XLOOKUP(TournamentData[[#This Row],[Team Number]],RobotDesignResults[Team Number],RobotDesignResults[Engineering Design Score],0,0,)</f>
        <v>0</v>
      </c>
      <c r="Z5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59" s="93">
        <f t="shared" si="1"/>
        <v>8</v>
      </c>
      <c r="AB59" s="31"/>
    </row>
    <row r="60" spans="1:28" ht="21" customHeight="1" x14ac:dyDescent="0.25">
      <c r="A60">
        <f>_xlfn.XLOOKUP(58,OfficialTeamList[Row],OfficialTeamList[Team Number],"ERROR",0)</f>
        <v>0</v>
      </c>
      <c r="B60" s="27" t="str">
        <f>_xlfn.XLOOKUP(TournamentData[[#This Row],[Team Number]],OfficialTeamList[Team Number],OfficialTeamList[Team Name],"",0,)</f>
        <v/>
      </c>
      <c r="C60" s="28">
        <f>IF(TournamentData[[#This Row],[Team Number]]="","",_xlfn.XLOOKUP(TournamentData[[#This Row],[Team Number]],RobotGameScores[Team Number],RobotGameScores[Match 1 Score],0,0,))</f>
        <v>0</v>
      </c>
      <c r="D60" s="28">
        <f>IF(TournamentData[[#This Row],[Team Number]]="","",_xlfn.XLOOKUP(TournamentData[[#This Row],[Team Number]],RobotGameScores[Team Number],RobotGameScores[Match 2 Score],0,0,))</f>
        <v>0</v>
      </c>
      <c r="E60" s="28">
        <f>IF(TournamentData[[#This Row],[Team Number]]="","",_xlfn.XLOOKUP(TournamentData[[#This Row],[Team Number]],RobotGameScores[Team Number],RobotGameScores[Match 3 Score],0,0,))</f>
        <v>0</v>
      </c>
      <c r="F60" s="28">
        <f>IF(TournamentData[[#This Row],[Team Number]]="","",_xlfn.XLOOKUP(TournamentData[[#This Row],[Team Number]],RobotGameScores[Team Number],RobotGameScores[Match 4 Score],0,0,))</f>
        <v>0</v>
      </c>
      <c r="G60" s="28">
        <f>IF(TournamentData[[#This Row],[Team Number]]="","",_xlfn.XLOOKUP(TournamentData[[#This Row],[Team Number]],RobotGameScores[Team Number],RobotGameScores[Match 5 Score],0,0,))</f>
        <v>0</v>
      </c>
      <c r="H60" s="28" t="str">
        <f>IF(TournamentData[[#This Row],[Team Name]]="","",_xlfn.XLOOKUP(TournamentData[[#This Row],[Team Name]],RobotGameScores[Team Name],RobotGameScores[Match 6 Score],0,0,))</f>
        <v/>
      </c>
      <c r="I60" s="28">
        <v>0</v>
      </c>
      <c r="J60" s="28">
        <f>SUM(TournamentData[[#This Row],[Match Score 1]:[Match Score 6]])/NumberOfRounds</f>
        <v>0</v>
      </c>
      <c r="K60" s="60">
        <f>IF(TournamentData[[#This Row],[Team Number]]="","",1+COUNTIFS($J$3:$J$201,"&gt;"&amp;J60)+COUNTIFS($J$3:$J$201,J60,$I$3:$I$201,"&gt;"&amp;I60))</f>
        <v>9</v>
      </c>
      <c r="L60" s="28">
        <f>IF(TournamentData[[#This Row],[Team Number]]="","",_xlfn.XLOOKUP(TournamentData[[#This Row],[Team Number]],CoreValuesResults[Team Number],CoreValuesResults[Core Values Rank],NumberOfTeams+1,0,))</f>
        <v>9</v>
      </c>
      <c r="M60" s="28">
        <f>IF(TournamentData[[#This Row],[Team Number]]="","",_xlfn.XLOOKUP(TournamentData[[#This Row],[Team Number]],InnovationProjectResults[Team Number],InnovationProjectResults[Innovation Project Rank],NumberOfTeams+1,0,))</f>
        <v>9</v>
      </c>
      <c r="N60" s="28">
        <f>IF(TournamentData[[#This Row],[Team Number]]="","",_xlfn.XLOOKUP(TournamentData[[#This Row],[Team Number]],RobotDesignResults[Team Number],RobotDesignResults[Engineering Design Rank],NumberOfTeams+1,0,))</f>
        <v>9</v>
      </c>
      <c r="O6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60" s="29">
        <f>IF(TournamentData[[#This Row],[Team Number]]="","",IF(O60,RANK(O60,O$3:O$202,1)-COUNTIF(O$3:O$202,0),NumberOfTeams+1))</f>
        <v>9</v>
      </c>
      <c r="Q60" s="30">
        <f>_xlfn.XLOOKUP(TournamentData[[#This Row],[Team Number]],CoreValuesResults[Team Number],CoreValuesResults[Inspiration Selection],0,0,)</f>
        <v>0</v>
      </c>
      <c r="R60" s="30">
        <f>_xlfn.XLOOKUP(TournamentData[[#This Row],[Team Number]],CoreValuesResults[Team Number],CoreValuesResults[Rising All-Star Selection],0,0,)</f>
        <v>0</v>
      </c>
      <c r="S6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60" s="31"/>
      <c r="U60" s="31"/>
      <c r="V60" s="32"/>
      <c r="W60" s="91">
        <f>_xlfn.XLOOKUP(TournamentData[[#This Row],[Team Number]],CoreValuesResults[Team Number],CoreValuesResults[Core Values Score],0,0,)</f>
        <v>0</v>
      </c>
      <c r="X60" s="91">
        <f>_xlfn.XLOOKUP(TournamentData[[#This Row],[Team Number]],InnovationProjectResults[Team Number],InnovationProjectResults[Innovation Project Score],0,0,)</f>
        <v>0</v>
      </c>
      <c r="Y60" s="91">
        <f>_xlfn.XLOOKUP(TournamentData[[#This Row],[Team Number]],RobotDesignResults[Team Number],RobotDesignResults[Engineering Design Score],0,0,)</f>
        <v>0</v>
      </c>
      <c r="Z6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60" s="93">
        <f t="shared" si="1"/>
        <v>8</v>
      </c>
      <c r="AB60" s="31"/>
    </row>
    <row r="61" spans="1:28" ht="21" customHeight="1" x14ac:dyDescent="0.25">
      <c r="A61">
        <f>_xlfn.XLOOKUP(59,OfficialTeamList[Row],OfficialTeamList[Team Number],"ERROR",0)</f>
        <v>0</v>
      </c>
      <c r="B61" s="27" t="str">
        <f>_xlfn.XLOOKUP(TournamentData[[#This Row],[Team Number]],OfficialTeamList[Team Number],OfficialTeamList[Team Name],"",0,)</f>
        <v/>
      </c>
      <c r="C61" s="28">
        <f>IF(TournamentData[[#This Row],[Team Number]]="","",_xlfn.XLOOKUP(TournamentData[[#This Row],[Team Number]],RobotGameScores[Team Number],RobotGameScores[Match 1 Score],0,0,))</f>
        <v>0</v>
      </c>
      <c r="D61" s="28">
        <f>IF(TournamentData[[#This Row],[Team Number]]="","",_xlfn.XLOOKUP(TournamentData[[#This Row],[Team Number]],RobotGameScores[Team Number],RobotGameScores[Match 2 Score],0,0,))</f>
        <v>0</v>
      </c>
      <c r="E61" s="28">
        <f>IF(TournamentData[[#This Row],[Team Number]]="","",_xlfn.XLOOKUP(TournamentData[[#This Row],[Team Number]],RobotGameScores[Team Number],RobotGameScores[Match 3 Score],0,0,))</f>
        <v>0</v>
      </c>
      <c r="F61" s="28">
        <f>IF(TournamentData[[#This Row],[Team Number]]="","",_xlfn.XLOOKUP(TournamentData[[#This Row],[Team Number]],RobotGameScores[Team Number],RobotGameScores[Match 4 Score],0,0,))</f>
        <v>0</v>
      </c>
      <c r="G61" s="28">
        <f>IF(TournamentData[[#This Row],[Team Number]]="","",_xlfn.XLOOKUP(TournamentData[[#This Row],[Team Number]],RobotGameScores[Team Number],RobotGameScores[Match 5 Score],0,0,))</f>
        <v>0</v>
      </c>
      <c r="H61" s="28" t="str">
        <f>IF(TournamentData[[#This Row],[Team Name]]="","",_xlfn.XLOOKUP(TournamentData[[#This Row],[Team Name]],RobotGameScores[Team Name],RobotGameScores[Match 6 Score],0,0,))</f>
        <v/>
      </c>
      <c r="I61" s="28">
        <v>0</v>
      </c>
      <c r="J61" s="28">
        <f>SUM(TournamentData[[#This Row],[Match Score 1]:[Match Score 6]])/NumberOfRounds</f>
        <v>0</v>
      </c>
      <c r="K61" s="59">
        <f>IF(TournamentData[[#This Row],[Team Number]]="","",1+COUNTIFS($J$3:$J$201,"&gt;"&amp;J61)+COUNTIFS($J$3:$J$201,J61,$I$3:$I$201,"&gt;"&amp;I61))</f>
        <v>9</v>
      </c>
      <c r="L61" s="28">
        <f>IF(TournamentData[[#This Row],[Team Number]]="","",_xlfn.XLOOKUP(TournamentData[[#This Row],[Team Number]],CoreValuesResults[Team Number],CoreValuesResults[Core Values Rank],NumberOfTeams+1,0,))</f>
        <v>9</v>
      </c>
      <c r="M61" s="28">
        <f>IF(TournamentData[[#This Row],[Team Number]]="","",_xlfn.XLOOKUP(TournamentData[[#This Row],[Team Number]],InnovationProjectResults[Team Number],InnovationProjectResults[Innovation Project Rank],NumberOfTeams+1,0,))</f>
        <v>9</v>
      </c>
      <c r="N61" s="28">
        <f>IF(TournamentData[[#This Row],[Team Number]]="","",_xlfn.XLOOKUP(TournamentData[[#This Row],[Team Number]],RobotDesignResults[Team Number],RobotDesignResults[Engineering Design Rank],NumberOfTeams+1,0,))</f>
        <v>9</v>
      </c>
      <c r="O6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61" s="29">
        <f>IF(TournamentData[[#This Row],[Team Number]]="","",IF(O61,RANK(O61,O$3:O$202,1)-COUNTIF(O$3:O$202,0),NumberOfTeams+1))</f>
        <v>9</v>
      </c>
      <c r="Q61" s="30">
        <f>_xlfn.XLOOKUP(TournamentData[[#This Row],[Team Number]],CoreValuesResults[Team Number],CoreValuesResults[Inspiration Selection],0,0,)</f>
        <v>0</v>
      </c>
      <c r="R61" s="30">
        <f>_xlfn.XLOOKUP(TournamentData[[#This Row],[Team Number]],CoreValuesResults[Team Number],CoreValuesResults[Rising All-Star Selection],0,0,)</f>
        <v>0</v>
      </c>
      <c r="S6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61" s="31"/>
      <c r="U61" s="31"/>
      <c r="V61" s="32"/>
      <c r="W61" s="91">
        <f>_xlfn.XLOOKUP(TournamentData[[#This Row],[Team Number]],CoreValuesResults[Team Number],CoreValuesResults[Core Values Score],0,0,)</f>
        <v>0</v>
      </c>
      <c r="X61" s="91">
        <f>_xlfn.XLOOKUP(TournamentData[[#This Row],[Team Number]],InnovationProjectResults[Team Number],InnovationProjectResults[Innovation Project Score],0,0,)</f>
        <v>0</v>
      </c>
      <c r="Y61" s="91">
        <f>_xlfn.XLOOKUP(TournamentData[[#This Row],[Team Number]],RobotDesignResults[Team Number],RobotDesignResults[Engineering Design Score],0,0,)</f>
        <v>0</v>
      </c>
      <c r="Z6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61" s="93">
        <f t="shared" si="1"/>
        <v>8</v>
      </c>
      <c r="AB61" s="31"/>
    </row>
    <row r="62" spans="1:28" ht="21" customHeight="1" x14ac:dyDescent="0.25">
      <c r="A62">
        <f>_xlfn.XLOOKUP(60,OfficialTeamList[Row],OfficialTeamList[Team Number],"ERROR",0)</f>
        <v>0</v>
      </c>
      <c r="B62" s="27" t="str">
        <f>_xlfn.XLOOKUP(TournamentData[[#This Row],[Team Number]],OfficialTeamList[Team Number],OfficialTeamList[Team Name],"",0,)</f>
        <v/>
      </c>
      <c r="C62" s="28">
        <f>IF(TournamentData[[#This Row],[Team Number]]="","",_xlfn.XLOOKUP(TournamentData[[#This Row],[Team Number]],RobotGameScores[Team Number],RobotGameScores[Match 1 Score],0,0,))</f>
        <v>0</v>
      </c>
      <c r="D62" s="28">
        <f>IF(TournamentData[[#This Row],[Team Number]]="","",_xlfn.XLOOKUP(TournamentData[[#This Row],[Team Number]],RobotGameScores[Team Number],RobotGameScores[Match 2 Score],0,0,))</f>
        <v>0</v>
      </c>
      <c r="E62" s="28">
        <f>IF(TournamentData[[#This Row],[Team Number]]="","",_xlfn.XLOOKUP(TournamentData[[#This Row],[Team Number]],RobotGameScores[Team Number],RobotGameScores[Match 3 Score],0,0,))</f>
        <v>0</v>
      </c>
      <c r="F62" s="28">
        <f>IF(TournamentData[[#This Row],[Team Number]]="","",_xlfn.XLOOKUP(TournamentData[[#This Row],[Team Number]],RobotGameScores[Team Number],RobotGameScores[Match 4 Score],0,0,))</f>
        <v>0</v>
      </c>
      <c r="G62" s="28">
        <f>IF(TournamentData[[#This Row],[Team Number]]="","",_xlfn.XLOOKUP(TournamentData[[#This Row],[Team Number]],RobotGameScores[Team Number],RobotGameScores[Match 5 Score],0,0,))</f>
        <v>0</v>
      </c>
      <c r="H62" s="28" t="str">
        <f>IF(TournamentData[[#This Row],[Team Name]]="","",_xlfn.XLOOKUP(TournamentData[[#This Row],[Team Name]],RobotGameScores[Team Name],RobotGameScores[Match 6 Score],0,0,))</f>
        <v/>
      </c>
      <c r="I62" s="28">
        <v>0</v>
      </c>
      <c r="J62" s="28">
        <f>SUM(TournamentData[[#This Row],[Match Score 1]:[Match Score 6]])/NumberOfRounds</f>
        <v>0</v>
      </c>
      <c r="K62" s="60">
        <f>IF(TournamentData[[#This Row],[Team Number]]="","",1+COUNTIFS($J$3:$J$201,"&gt;"&amp;J62)+COUNTIFS($J$3:$J$201,J62,$I$3:$I$201,"&gt;"&amp;I62))</f>
        <v>9</v>
      </c>
      <c r="L62" s="28">
        <f>IF(TournamentData[[#This Row],[Team Number]]="","",_xlfn.XLOOKUP(TournamentData[[#This Row],[Team Number]],CoreValuesResults[Team Number],CoreValuesResults[Core Values Rank],NumberOfTeams+1,0,))</f>
        <v>9</v>
      </c>
      <c r="M62" s="28">
        <f>IF(TournamentData[[#This Row],[Team Number]]="","",_xlfn.XLOOKUP(TournamentData[[#This Row],[Team Number]],InnovationProjectResults[Team Number],InnovationProjectResults[Innovation Project Rank],NumberOfTeams+1,0,))</f>
        <v>9</v>
      </c>
      <c r="N62" s="28">
        <f>IF(TournamentData[[#This Row],[Team Number]]="","",_xlfn.XLOOKUP(TournamentData[[#This Row],[Team Number]],RobotDesignResults[Team Number],RobotDesignResults[Engineering Design Rank],NumberOfTeams+1,0,))</f>
        <v>9</v>
      </c>
      <c r="O6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62" s="29">
        <f>IF(TournamentData[[#This Row],[Team Number]]="","",IF(O62,RANK(O62,O$3:O$202,1)-COUNTIF(O$3:O$202,0),NumberOfTeams+1))</f>
        <v>9</v>
      </c>
      <c r="Q62" s="30">
        <f>_xlfn.XLOOKUP(TournamentData[[#This Row],[Team Number]],CoreValuesResults[Team Number],CoreValuesResults[Inspiration Selection],0,0,)</f>
        <v>0</v>
      </c>
      <c r="R62" s="30">
        <f>_xlfn.XLOOKUP(TournamentData[[#This Row],[Team Number]],CoreValuesResults[Team Number],CoreValuesResults[Rising All-Star Selection],0,0,)</f>
        <v>0</v>
      </c>
      <c r="S6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62" s="31"/>
      <c r="U62" s="31"/>
      <c r="V62" s="32"/>
      <c r="W62" s="91">
        <f>_xlfn.XLOOKUP(TournamentData[[#This Row],[Team Number]],CoreValuesResults[Team Number],CoreValuesResults[Core Values Score],0,0,)</f>
        <v>0</v>
      </c>
      <c r="X62" s="91">
        <f>_xlfn.XLOOKUP(TournamentData[[#This Row],[Team Number]],InnovationProjectResults[Team Number],InnovationProjectResults[Innovation Project Score],0,0,)</f>
        <v>0</v>
      </c>
      <c r="Y62" s="91">
        <f>_xlfn.XLOOKUP(TournamentData[[#This Row],[Team Number]],RobotDesignResults[Team Number],RobotDesignResults[Engineering Design Score],0,0,)</f>
        <v>0</v>
      </c>
      <c r="Z6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62" s="93">
        <f t="shared" si="1"/>
        <v>8</v>
      </c>
      <c r="AB62" s="31"/>
    </row>
    <row r="63" spans="1:28" ht="21" customHeight="1" x14ac:dyDescent="0.25">
      <c r="A63">
        <f>_xlfn.XLOOKUP(61,OfficialTeamList[Row],OfficialTeamList[Team Number],"ERROR",0)</f>
        <v>0</v>
      </c>
      <c r="B63" s="27" t="str">
        <f>_xlfn.XLOOKUP(TournamentData[[#This Row],[Team Number]],OfficialTeamList[Team Number],OfficialTeamList[Team Name],"",0,)</f>
        <v/>
      </c>
      <c r="C63" s="28">
        <f>IF(TournamentData[[#This Row],[Team Number]]="","",_xlfn.XLOOKUP(TournamentData[[#This Row],[Team Number]],RobotGameScores[Team Number],RobotGameScores[Match 1 Score],0,0,))</f>
        <v>0</v>
      </c>
      <c r="D63" s="28">
        <f>IF(TournamentData[[#This Row],[Team Number]]="","",_xlfn.XLOOKUP(TournamentData[[#This Row],[Team Number]],RobotGameScores[Team Number],RobotGameScores[Match 2 Score],0,0,))</f>
        <v>0</v>
      </c>
      <c r="E63" s="28">
        <f>IF(TournamentData[[#This Row],[Team Number]]="","",_xlfn.XLOOKUP(TournamentData[[#This Row],[Team Number]],RobotGameScores[Team Number],RobotGameScores[Match 3 Score],0,0,))</f>
        <v>0</v>
      </c>
      <c r="F63" s="28">
        <f>IF(TournamentData[[#This Row],[Team Number]]="","",_xlfn.XLOOKUP(TournamentData[[#This Row],[Team Number]],RobotGameScores[Team Number],RobotGameScores[Match 4 Score],0,0,))</f>
        <v>0</v>
      </c>
      <c r="G63" s="28">
        <f>IF(TournamentData[[#This Row],[Team Number]]="","",_xlfn.XLOOKUP(TournamentData[[#This Row],[Team Number]],RobotGameScores[Team Number],RobotGameScores[Match 5 Score],0,0,))</f>
        <v>0</v>
      </c>
      <c r="H63" s="28" t="str">
        <f>IF(TournamentData[[#This Row],[Team Name]]="","",_xlfn.XLOOKUP(TournamentData[[#This Row],[Team Name]],RobotGameScores[Team Name],RobotGameScores[Match 6 Score],0,0,))</f>
        <v/>
      </c>
      <c r="I63" s="28">
        <v>0</v>
      </c>
      <c r="J63" s="28">
        <f>SUM(TournamentData[[#This Row],[Match Score 1]:[Match Score 6]])/NumberOfRounds</f>
        <v>0</v>
      </c>
      <c r="K63" s="59">
        <f>IF(TournamentData[[#This Row],[Team Number]]="","",1+COUNTIFS($J$3:$J$201,"&gt;"&amp;J63)+COUNTIFS($J$3:$J$201,J63,$I$3:$I$201,"&gt;"&amp;I63))</f>
        <v>9</v>
      </c>
      <c r="L63" s="28">
        <f>IF(TournamentData[[#This Row],[Team Number]]="","",_xlfn.XLOOKUP(TournamentData[[#This Row],[Team Number]],CoreValuesResults[Team Number],CoreValuesResults[Core Values Rank],NumberOfTeams+1,0,))</f>
        <v>9</v>
      </c>
      <c r="M63" s="28">
        <f>IF(TournamentData[[#This Row],[Team Number]]="","",_xlfn.XLOOKUP(TournamentData[[#This Row],[Team Number]],InnovationProjectResults[Team Number],InnovationProjectResults[Innovation Project Rank],NumberOfTeams+1,0,))</f>
        <v>9</v>
      </c>
      <c r="N63" s="28">
        <f>IF(TournamentData[[#This Row],[Team Number]]="","",_xlfn.XLOOKUP(TournamentData[[#This Row],[Team Number]],RobotDesignResults[Team Number],RobotDesignResults[Engineering Design Rank],NumberOfTeams+1,0,))</f>
        <v>9</v>
      </c>
      <c r="O6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63" s="29">
        <f>IF(TournamentData[[#This Row],[Team Number]]="","",IF(O63,RANK(O63,O$3:O$202,1)-COUNTIF(O$3:O$202,0),NumberOfTeams+1))</f>
        <v>9</v>
      </c>
      <c r="Q63" s="30">
        <f>_xlfn.XLOOKUP(TournamentData[[#This Row],[Team Number]],CoreValuesResults[Team Number],CoreValuesResults[Inspiration Selection],0,0,)</f>
        <v>0</v>
      </c>
      <c r="R63" s="33">
        <f>_xlfn.XLOOKUP(TournamentData[[#This Row],[Team Number]],CoreValuesResults[Team Number],CoreValuesResults[Rising All-Star Selection],0,0,)</f>
        <v>0</v>
      </c>
      <c r="S6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63" s="31"/>
      <c r="U63" s="31"/>
      <c r="V63" s="32"/>
      <c r="W63" s="91">
        <f>_xlfn.XLOOKUP(TournamentData[[#This Row],[Team Number]],CoreValuesResults[Team Number],CoreValuesResults[Core Values Score],0,0,)</f>
        <v>0</v>
      </c>
      <c r="X63" s="91">
        <f>_xlfn.XLOOKUP(TournamentData[[#This Row],[Team Number]],InnovationProjectResults[Team Number],InnovationProjectResults[Innovation Project Score],0,0,)</f>
        <v>0</v>
      </c>
      <c r="Y63" s="91">
        <f>_xlfn.XLOOKUP(TournamentData[[#This Row],[Team Number]],RobotDesignResults[Team Number],RobotDesignResults[Engineering Design Score],0,0,)</f>
        <v>0</v>
      </c>
      <c r="Z6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63" s="93">
        <f t="shared" si="1"/>
        <v>8</v>
      </c>
      <c r="AB63" s="31"/>
    </row>
    <row r="64" spans="1:28" ht="21" customHeight="1" x14ac:dyDescent="0.25">
      <c r="A64">
        <f>_xlfn.XLOOKUP(62,OfficialTeamList[Row],OfficialTeamList[Team Number],"ERROR",0)</f>
        <v>0</v>
      </c>
      <c r="B64" s="27" t="str">
        <f>_xlfn.XLOOKUP(TournamentData[[#This Row],[Team Number]],OfficialTeamList[Team Number],OfficialTeamList[Team Name],"",0,)</f>
        <v/>
      </c>
      <c r="C64" s="28">
        <f>IF(TournamentData[[#This Row],[Team Number]]="","",_xlfn.XLOOKUP(TournamentData[[#This Row],[Team Number]],RobotGameScores[Team Number],RobotGameScores[Match 1 Score],0,0,))</f>
        <v>0</v>
      </c>
      <c r="D64" s="28">
        <f>IF(TournamentData[[#This Row],[Team Number]]="","",_xlfn.XLOOKUP(TournamentData[[#This Row],[Team Number]],RobotGameScores[Team Number],RobotGameScores[Match 2 Score],0,0,))</f>
        <v>0</v>
      </c>
      <c r="E64" s="28">
        <f>IF(TournamentData[[#This Row],[Team Number]]="","",_xlfn.XLOOKUP(TournamentData[[#This Row],[Team Number]],RobotGameScores[Team Number],RobotGameScores[Match 3 Score],0,0,))</f>
        <v>0</v>
      </c>
      <c r="F64" s="28">
        <f>IF(TournamentData[[#This Row],[Team Number]]="","",_xlfn.XLOOKUP(TournamentData[[#This Row],[Team Number]],RobotGameScores[Team Number],RobotGameScores[Match 4 Score],0,0,))</f>
        <v>0</v>
      </c>
      <c r="G64" s="28">
        <f>IF(TournamentData[[#This Row],[Team Number]]="","",_xlfn.XLOOKUP(TournamentData[[#This Row],[Team Number]],RobotGameScores[Team Number],RobotGameScores[Match 5 Score],0,0,))</f>
        <v>0</v>
      </c>
      <c r="H64" s="28" t="str">
        <f>IF(TournamentData[[#This Row],[Team Name]]="","",_xlfn.XLOOKUP(TournamentData[[#This Row],[Team Name]],RobotGameScores[Team Name],RobotGameScores[Match 6 Score],0,0,))</f>
        <v/>
      </c>
      <c r="I64" s="28">
        <v>0</v>
      </c>
      <c r="J64" s="28">
        <f>SUM(TournamentData[[#This Row],[Match Score 1]:[Match Score 6]])/NumberOfRounds</f>
        <v>0</v>
      </c>
      <c r="K64" s="60">
        <f>IF(TournamentData[[#This Row],[Team Number]]="","",1+COUNTIFS($J$3:$J$201,"&gt;"&amp;J64)+COUNTIFS($J$3:$J$201,J64,$I$3:$I$201,"&gt;"&amp;I64))</f>
        <v>9</v>
      </c>
      <c r="L64" s="28">
        <f>IF(TournamentData[[#This Row],[Team Number]]="","",_xlfn.XLOOKUP(TournamentData[[#This Row],[Team Number]],CoreValuesResults[Team Number],CoreValuesResults[Core Values Rank],NumberOfTeams+1,0,))</f>
        <v>9</v>
      </c>
      <c r="M64" s="28">
        <f>IF(TournamentData[[#This Row],[Team Number]]="","",_xlfn.XLOOKUP(TournamentData[[#This Row],[Team Number]],InnovationProjectResults[Team Number],InnovationProjectResults[Innovation Project Rank],NumberOfTeams+1,0,))</f>
        <v>9</v>
      </c>
      <c r="N64" s="28">
        <f>IF(TournamentData[[#This Row],[Team Number]]="","",_xlfn.XLOOKUP(TournamentData[[#This Row],[Team Number]],RobotDesignResults[Team Number],RobotDesignResults[Engineering Design Rank],NumberOfTeams+1,0,))</f>
        <v>9</v>
      </c>
      <c r="O6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64" s="29">
        <f>IF(TournamentData[[#This Row],[Team Number]]="","",IF(O64,RANK(O64,O$3:O$202,1)-COUNTIF(O$3:O$202,0),NumberOfTeams+1))</f>
        <v>9</v>
      </c>
      <c r="Q64" s="30">
        <f>_xlfn.XLOOKUP(TournamentData[[#This Row],[Team Number]],CoreValuesResults[Team Number],CoreValuesResults[Inspiration Selection],0,0,)</f>
        <v>0</v>
      </c>
      <c r="R64" s="33">
        <f>_xlfn.XLOOKUP(TournamentData[[#This Row],[Team Number]],CoreValuesResults[Team Number],CoreValuesResults[Rising All-Star Selection],0,0,)</f>
        <v>0</v>
      </c>
      <c r="S6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64" s="31"/>
      <c r="U64" s="31"/>
      <c r="V64" s="32"/>
      <c r="W64" s="91">
        <f>_xlfn.XLOOKUP(TournamentData[[#This Row],[Team Number]],CoreValuesResults[Team Number],CoreValuesResults[Core Values Score],0,0,)</f>
        <v>0</v>
      </c>
      <c r="X64" s="91">
        <f>_xlfn.XLOOKUP(TournamentData[[#This Row],[Team Number]],InnovationProjectResults[Team Number],InnovationProjectResults[Innovation Project Score],0,0,)</f>
        <v>0</v>
      </c>
      <c r="Y64" s="91">
        <f>_xlfn.XLOOKUP(TournamentData[[#This Row],[Team Number]],RobotDesignResults[Team Number],RobotDesignResults[Engineering Design Score],0,0,)</f>
        <v>0</v>
      </c>
      <c r="Z6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64" s="93">
        <f t="shared" si="1"/>
        <v>8</v>
      </c>
      <c r="AB64" s="31"/>
    </row>
    <row r="65" spans="1:28" ht="21" customHeight="1" x14ac:dyDescent="0.25">
      <c r="A65">
        <f>_xlfn.XLOOKUP(63,OfficialTeamList[Row],OfficialTeamList[Team Number],"ERROR",0)</f>
        <v>0</v>
      </c>
      <c r="B65" s="27" t="str">
        <f>_xlfn.XLOOKUP(TournamentData[[#This Row],[Team Number]],OfficialTeamList[Team Number],OfficialTeamList[Team Name],"",0,)</f>
        <v/>
      </c>
      <c r="C65" s="28">
        <f>IF(TournamentData[[#This Row],[Team Number]]="","",_xlfn.XLOOKUP(TournamentData[[#This Row],[Team Number]],RobotGameScores[Team Number],RobotGameScores[Match 1 Score],0,0,))</f>
        <v>0</v>
      </c>
      <c r="D65" s="28">
        <f>IF(TournamentData[[#This Row],[Team Number]]="","",_xlfn.XLOOKUP(TournamentData[[#This Row],[Team Number]],RobotGameScores[Team Number],RobotGameScores[Match 2 Score],0,0,))</f>
        <v>0</v>
      </c>
      <c r="E65" s="28">
        <f>IF(TournamentData[[#This Row],[Team Number]]="","",_xlfn.XLOOKUP(TournamentData[[#This Row],[Team Number]],RobotGameScores[Team Number],RobotGameScores[Match 3 Score],0,0,))</f>
        <v>0</v>
      </c>
      <c r="F65" s="28">
        <f>IF(TournamentData[[#This Row],[Team Number]]="","",_xlfn.XLOOKUP(TournamentData[[#This Row],[Team Number]],RobotGameScores[Team Number],RobotGameScores[Match 4 Score],0,0,))</f>
        <v>0</v>
      </c>
      <c r="G65" s="28">
        <f>IF(TournamentData[[#This Row],[Team Number]]="","",_xlfn.XLOOKUP(TournamentData[[#This Row],[Team Number]],RobotGameScores[Team Number],RobotGameScores[Match 5 Score],0,0,))</f>
        <v>0</v>
      </c>
      <c r="H65" s="28" t="str">
        <f>IF(TournamentData[[#This Row],[Team Name]]="","",_xlfn.XLOOKUP(TournamentData[[#This Row],[Team Name]],RobotGameScores[Team Name],RobotGameScores[Match 6 Score],0,0,))</f>
        <v/>
      </c>
      <c r="I65" s="28">
        <v>0</v>
      </c>
      <c r="J65" s="28">
        <f>SUM(TournamentData[[#This Row],[Match Score 1]:[Match Score 6]])/NumberOfRounds</f>
        <v>0</v>
      </c>
      <c r="K65" s="59">
        <f>IF(TournamentData[[#This Row],[Team Number]]="","",1+COUNTIFS($J$3:$J$201,"&gt;"&amp;J65)+COUNTIFS($J$3:$J$201,J65,$I$3:$I$201,"&gt;"&amp;I65))</f>
        <v>9</v>
      </c>
      <c r="L65" s="28">
        <f>IF(TournamentData[[#This Row],[Team Number]]="","",_xlfn.XLOOKUP(TournamentData[[#This Row],[Team Number]],CoreValuesResults[Team Number],CoreValuesResults[Core Values Rank],NumberOfTeams+1,0,))</f>
        <v>9</v>
      </c>
      <c r="M65" s="28">
        <f>IF(TournamentData[[#This Row],[Team Number]]="","",_xlfn.XLOOKUP(TournamentData[[#This Row],[Team Number]],InnovationProjectResults[Team Number],InnovationProjectResults[Innovation Project Rank],NumberOfTeams+1,0,))</f>
        <v>9</v>
      </c>
      <c r="N65" s="28">
        <f>IF(TournamentData[[#This Row],[Team Number]]="","",_xlfn.XLOOKUP(TournamentData[[#This Row],[Team Number]],RobotDesignResults[Team Number],RobotDesignResults[Engineering Design Rank],NumberOfTeams+1,0,))</f>
        <v>9</v>
      </c>
      <c r="O6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65" s="29">
        <f>IF(TournamentData[[#This Row],[Team Number]]="","",IF(O65,RANK(O65,O$3:O$202,1)-COUNTIF(O$3:O$202,0),NumberOfTeams+1))</f>
        <v>9</v>
      </c>
      <c r="Q65" s="30">
        <f>_xlfn.XLOOKUP(TournamentData[[#This Row],[Team Number]],CoreValuesResults[Team Number],CoreValuesResults[Inspiration Selection],0,0,)</f>
        <v>0</v>
      </c>
      <c r="R65" s="33">
        <f>_xlfn.XLOOKUP(TournamentData[[#This Row],[Team Number]],CoreValuesResults[Team Number],CoreValuesResults[Rising All-Star Selection],0,0,)</f>
        <v>0</v>
      </c>
      <c r="S6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65" s="31"/>
      <c r="U65" s="31"/>
      <c r="V65" s="32"/>
      <c r="W65" s="91">
        <f>_xlfn.XLOOKUP(TournamentData[[#This Row],[Team Number]],CoreValuesResults[Team Number],CoreValuesResults[Core Values Score],0,0,)</f>
        <v>0</v>
      </c>
      <c r="X65" s="91">
        <f>_xlfn.XLOOKUP(TournamentData[[#This Row],[Team Number]],InnovationProjectResults[Team Number],InnovationProjectResults[Innovation Project Score],0,0,)</f>
        <v>0</v>
      </c>
      <c r="Y65" s="91">
        <f>_xlfn.XLOOKUP(TournamentData[[#This Row],[Team Number]],RobotDesignResults[Team Number],RobotDesignResults[Engineering Design Score],0,0,)</f>
        <v>0</v>
      </c>
      <c r="Z6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65" s="93">
        <f t="shared" si="1"/>
        <v>8</v>
      </c>
      <c r="AB65" s="31"/>
    </row>
    <row r="66" spans="1:28" ht="21" customHeight="1" x14ac:dyDescent="0.25">
      <c r="A66">
        <f>_xlfn.XLOOKUP(64,OfficialTeamList[Row],OfficialTeamList[Team Number],"ERROR",0)</f>
        <v>0</v>
      </c>
      <c r="B66" s="27" t="str">
        <f>_xlfn.XLOOKUP(TournamentData[[#This Row],[Team Number]],OfficialTeamList[Team Number],OfficialTeamList[Team Name],"",0,)</f>
        <v/>
      </c>
      <c r="C66" s="28">
        <f>IF(TournamentData[[#This Row],[Team Number]]="","",_xlfn.XLOOKUP(TournamentData[[#This Row],[Team Number]],RobotGameScores[Team Number],RobotGameScores[Match 1 Score],0,0,))</f>
        <v>0</v>
      </c>
      <c r="D66" s="28">
        <f>IF(TournamentData[[#This Row],[Team Number]]="","",_xlfn.XLOOKUP(TournamentData[[#This Row],[Team Number]],RobotGameScores[Team Number],RobotGameScores[Match 2 Score],0,0,))</f>
        <v>0</v>
      </c>
      <c r="E66" s="28">
        <f>IF(TournamentData[[#This Row],[Team Number]]="","",_xlfn.XLOOKUP(TournamentData[[#This Row],[Team Number]],RobotGameScores[Team Number],RobotGameScores[Match 3 Score],0,0,))</f>
        <v>0</v>
      </c>
      <c r="F66" s="28">
        <f>IF(TournamentData[[#This Row],[Team Number]]="","",_xlfn.XLOOKUP(TournamentData[[#This Row],[Team Number]],RobotGameScores[Team Number],RobotGameScores[Match 4 Score],0,0,))</f>
        <v>0</v>
      </c>
      <c r="G66" s="28">
        <f>IF(TournamentData[[#This Row],[Team Number]]="","",_xlfn.XLOOKUP(TournamentData[[#This Row],[Team Number]],RobotGameScores[Team Number],RobotGameScores[Match 5 Score],0,0,))</f>
        <v>0</v>
      </c>
      <c r="H66" s="28" t="str">
        <f>IF(TournamentData[[#This Row],[Team Name]]="","",_xlfn.XLOOKUP(TournamentData[[#This Row],[Team Name]],RobotGameScores[Team Name],RobotGameScores[Match 6 Score],0,0,))</f>
        <v/>
      </c>
      <c r="I66" s="28">
        <v>0</v>
      </c>
      <c r="J66" s="28">
        <f>SUM(TournamentData[[#This Row],[Match Score 1]:[Match Score 6]])/NumberOfRounds</f>
        <v>0</v>
      </c>
      <c r="K66" s="60">
        <f>IF(TournamentData[[#This Row],[Team Number]]="","",1+COUNTIFS($J$3:$J$201,"&gt;"&amp;J66)+COUNTIFS($J$3:$J$201,J66,$I$3:$I$201,"&gt;"&amp;I66))</f>
        <v>9</v>
      </c>
      <c r="L66" s="28">
        <f>IF(TournamentData[[#This Row],[Team Number]]="","",_xlfn.XLOOKUP(TournamentData[[#This Row],[Team Number]],CoreValuesResults[Team Number],CoreValuesResults[Core Values Rank],NumberOfTeams+1,0,))</f>
        <v>9</v>
      </c>
      <c r="M66" s="28">
        <f>IF(TournamentData[[#This Row],[Team Number]]="","",_xlfn.XLOOKUP(TournamentData[[#This Row],[Team Number]],InnovationProjectResults[Team Number],InnovationProjectResults[Innovation Project Rank],NumberOfTeams+1,0,))</f>
        <v>9</v>
      </c>
      <c r="N66" s="28">
        <f>IF(TournamentData[[#This Row],[Team Number]]="","",_xlfn.XLOOKUP(TournamentData[[#This Row],[Team Number]],RobotDesignResults[Team Number],RobotDesignResults[Engineering Design Rank],NumberOfTeams+1,0,))</f>
        <v>9</v>
      </c>
      <c r="O6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66" s="29">
        <f>IF(TournamentData[[#This Row],[Team Number]]="","",IF(O66,RANK(O66,O$3:O$202,1)-COUNTIF(O$3:O$202,0),NumberOfTeams+1))</f>
        <v>9</v>
      </c>
      <c r="Q66" s="30">
        <f>_xlfn.XLOOKUP(TournamentData[[#This Row],[Team Number]],CoreValuesResults[Team Number],CoreValuesResults[Inspiration Selection],0,0,)</f>
        <v>0</v>
      </c>
      <c r="R66" s="33">
        <f>_xlfn.XLOOKUP(TournamentData[[#This Row],[Team Number]],CoreValuesResults[Team Number],CoreValuesResults[Rising All-Star Selection],0,0,)</f>
        <v>0</v>
      </c>
      <c r="S6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66" s="31"/>
      <c r="U66" s="31"/>
      <c r="V66" s="32"/>
      <c r="W66" s="91">
        <f>_xlfn.XLOOKUP(TournamentData[[#This Row],[Team Number]],CoreValuesResults[Team Number],CoreValuesResults[Core Values Score],0,0,)</f>
        <v>0</v>
      </c>
      <c r="X66" s="91">
        <f>_xlfn.XLOOKUP(TournamentData[[#This Row],[Team Number]],InnovationProjectResults[Team Number],InnovationProjectResults[Innovation Project Score],0,0,)</f>
        <v>0</v>
      </c>
      <c r="Y66" s="91">
        <f>_xlfn.XLOOKUP(TournamentData[[#This Row],[Team Number]],RobotDesignResults[Team Number],RobotDesignResults[Engineering Design Score],0,0,)</f>
        <v>0</v>
      </c>
      <c r="Z6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66" s="93">
        <f t="shared" si="1"/>
        <v>8</v>
      </c>
      <c r="AB66" s="31"/>
    </row>
    <row r="67" spans="1:28" ht="21" customHeight="1" x14ac:dyDescent="0.25">
      <c r="A67">
        <f>_xlfn.XLOOKUP(65,OfficialTeamList[Row],OfficialTeamList[Team Number],"ERROR",0)</f>
        <v>0</v>
      </c>
      <c r="B67" s="27" t="str">
        <f>_xlfn.XLOOKUP(TournamentData[[#This Row],[Team Number]],OfficialTeamList[Team Number],OfficialTeamList[Team Name],"",0,)</f>
        <v/>
      </c>
      <c r="C67" s="28">
        <f>IF(TournamentData[[#This Row],[Team Number]]="","",_xlfn.XLOOKUP(TournamentData[[#This Row],[Team Number]],RobotGameScores[Team Number],RobotGameScores[Match 1 Score],0,0,))</f>
        <v>0</v>
      </c>
      <c r="D67" s="28">
        <f>IF(TournamentData[[#This Row],[Team Number]]="","",_xlfn.XLOOKUP(TournamentData[[#This Row],[Team Number]],RobotGameScores[Team Number],RobotGameScores[Match 2 Score],0,0,))</f>
        <v>0</v>
      </c>
      <c r="E67" s="28">
        <f>IF(TournamentData[[#This Row],[Team Number]]="","",_xlfn.XLOOKUP(TournamentData[[#This Row],[Team Number]],RobotGameScores[Team Number],RobotGameScores[Match 3 Score],0,0,))</f>
        <v>0</v>
      </c>
      <c r="F67" s="28">
        <f>IF(TournamentData[[#This Row],[Team Number]]="","",_xlfn.XLOOKUP(TournamentData[[#This Row],[Team Number]],RobotGameScores[Team Number],RobotGameScores[Match 4 Score],0,0,))</f>
        <v>0</v>
      </c>
      <c r="G67" s="28">
        <f>IF(TournamentData[[#This Row],[Team Number]]="","",_xlfn.XLOOKUP(TournamentData[[#This Row],[Team Number]],RobotGameScores[Team Number],RobotGameScores[Match 5 Score],0,0,))</f>
        <v>0</v>
      </c>
      <c r="H67" s="28" t="str">
        <f>IF(TournamentData[[#This Row],[Team Name]]="","",_xlfn.XLOOKUP(TournamentData[[#This Row],[Team Name]],RobotGameScores[Team Name],RobotGameScores[Match 6 Score],0,0,))</f>
        <v/>
      </c>
      <c r="I67" s="28">
        <v>0</v>
      </c>
      <c r="J67" s="28">
        <f>SUM(TournamentData[[#This Row],[Match Score 1]:[Match Score 6]])/NumberOfRounds</f>
        <v>0</v>
      </c>
      <c r="K67" s="59">
        <f>IF(TournamentData[[#This Row],[Team Number]]="","",1+COUNTIFS($J$3:$J$201,"&gt;"&amp;J67)+COUNTIFS($J$3:$J$201,J67,$I$3:$I$201,"&gt;"&amp;I67))</f>
        <v>9</v>
      </c>
      <c r="L67" s="28">
        <f>IF(TournamentData[[#This Row],[Team Number]]="","",_xlfn.XLOOKUP(TournamentData[[#This Row],[Team Number]],CoreValuesResults[Team Number],CoreValuesResults[Core Values Rank],NumberOfTeams+1,0,))</f>
        <v>9</v>
      </c>
      <c r="M67" s="28">
        <f>IF(TournamentData[[#This Row],[Team Number]]="","",_xlfn.XLOOKUP(TournamentData[[#This Row],[Team Number]],InnovationProjectResults[Team Number],InnovationProjectResults[Innovation Project Rank],NumberOfTeams+1,0,))</f>
        <v>9</v>
      </c>
      <c r="N67" s="28">
        <f>IF(TournamentData[[#This Row],[Team Number]]="","",_xlfn.XLOOKUP(TournamentData[[#This Row],[Team Number]],RobotDesignResults[Team Number],RobotDesignResults[Engineering Design Rank],NumberOfTeams+1,0,))</f>
        <v>9</v>
      </c>
      <c r="O6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67" s="29">
        <f>IF(TournamentData[[#This Row],[Team Number]]="","",IF(O67,RANK(O67,O$3:O$202,1)-COUNTIF(O$3:O$202,0),NumberOfTeams+1))</f>
        <v>9</v>
      </c>
      <c r="Q67" s="30">
        <f>_xlfn.XLOOKUP(TournamentData[[#This Row],[Team Number]],CoreValuesResults[Team Number],CoreValuesResults[Inspiration Selection],0,0,)</f>
        <v>0</v>
      </c>
      <c r="R67" s="33">
        <f>_xlfn.XLOOKUP(TournamentData[[#This Row],[Team Number]],CoreValuesResults[Team Number],CoreValuesResults[Rising All-Star Selection],0,0,)</f>
        <v>0</v>
      </c>
      <c r="S6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67" s="31"/>
      <c r="U67" s="31"/>
      <c r="V67" s="32"/>
      <c r="W67" s="91">
        <f>_xlfn.XLOOKUP(TournamentData[[#This Row],[Team Number]],CoreValuesResults[Team Number],CoreValuesResults[Core Values Score],0,0,)</f>
        <v>0</v>
      </c>
      <c r="X67" s="91">
        <f>_xlfn.XLOOKUP(TournamentData[[#This Row],[Team Number]],InnovationProjectResults[Team Number],InnovationProjectResults[Innovation Project Score],0,0,)</f>
        <v>0</v>
      </c>
      <c r="Y67" s="91">
        <f>_xlfn.XLOOKUP(TournamentData[[#This Row],[Team Number]],RobotDesignResults[Team Number],RobotDesignResults[Engineering Design Score],0,0,)</f>
        <v>0</v>
      </c>
      <c r="Z6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67" s="93">
        <f t="shared" ref="AA67:AA98" si="2">IF(Z67,_xlfn.RANK.EQ(Z67,Z$3:Z$110,0),NumberOfTeams)</f>
        <v>8</v>
      </c>
      <c r="AB67" s="31"/>
    </row>
    <row r="68" spans="1:28" ht="21" customHeight="1" x14ac:dyDescent="0.25">
      <c r="A68">
        <f>_xlfn.XLOOKUP(66,OfficialTeamList[Row],OfficialTeamList[Team Number],"ERROR",0)</f>
        <v>0</v>
      </c>
      <c r="B68" s="27" t="str">
        <f>_xlfn.XLOOKUP(TournamentData[[#This Row],[Team Number]],OfficialTeamList[Team Number],OfficialTeamList[Team Name],"",0,)</f>
        <v/>
      </c>
      <c r="C68" s="28">
        <f>IF(TournamentData[[#This Row],[Team Number]]="","",_xlfn.XLOOKUP(TournamentData[[#This Row],[Team Number]],RobotGameScores[Team Number],RobotGameScores[Match 1 Score],0,0,))</f>
        <v>0</v>
      </c>
      <c r="D68" s="28">
        <f>IF(TournamentData[[#This Row],[Team Number]]="","",_xlfn.XLOOKUP(TournamentData[[#This Row],[Team Number]],RobotGameScores[Team Number],RobotGameScores[Match 2 Score],0,0,))</f>
        <v>0</v>
      </c>
      <c r="E68" s="28">
        <f>IF(TournamentData[[#This Row],[Team Number]]="","",_xlfn.XLOOKUP(TournamentData[[#This Row],[Team Number]],RobotGameScores[Team Number],RobotGameScores[Match 3 Score],0,0,))</f>
        <v>0</v>
      </c>
      <c r="F68" s="28">
        <f>IF(TournamentData[[#This Row],[Team Number]]="","",_xlfn.XLOOKUP(TournamentData[[#This Row],[Team Number]],RobotGameScores[Team Number],RobotGameScores[Match 4 Score],0,0,))</f>
        <v>0</v>
      </c>
      <c r="G68" s="28">
        <f>IF(TournamentData[[#This Row],[Team Number]]="","",_xlfn.XLOOKUP(TournamentData[[#This Row],[Team Number]],RobotGameScores[Team Number],RobotGameScores[Match 5 Score],0,0,))</f>
        <v>0</v>
      </c>
      <c r="H68" s="28" t="str">
        <f>IF(TournamentData[[#This Row],[Team Name]]="","",_xlfn.XLOOKUP(TournamentData[[#This Row],[Team Name]],RobotGameScores[Team Name],RobotGameScores[Match 6 Score],0,0,))</f>
        <v/>
      </c>
      <c r="I68" s="28">
        <v>0</v>
      </c>
      <c r="J68" s="28">
        <f>SUM(TournamentData[[#This Row],[Match Score 1]:[Match Score 6]])/NumberOfRounds</f>
        <v>0</v>
      </c>
      <c r="K68" s="60">
        <f>IF(TournamentData[[#This Row],[Team Number]]="","",1+COUNTIFS($J$3:$J$201,"&gt;"&amp;J68)+COUNTIFS($J$3:$J$201,J68,$I$3:$I$201,"&gt;"&amp;I68))</f>
        <v>9</v>
      </c>
      <c r="L68" s="28">
        <f>IF(TournamentData[[#This Row],[Team Number]]="","",_xlfn.XLOOKUP(TournamentData[[#This Row],[Team Number]],CoreValuesResults[Team Number],CoreValuesResults[Core Values Rank],NumberOfTeams+1,0,))</f>
        <v>9</v>
      </c>
      <c r="M68" s="28">
        <f>IF(TournamentData[[#This Row],[Team Number]]="","",_xlfn.XLOOKUP(TournamentData[[#This Row],[Team Number]],InnovationProjectResults[Team Number],InnovationProjectResults[Innovation Project Rank],NumberOfTeams+1,0,))</f>
        <v>9</v>
      </c>
      <c r="N68" s="28">
        <f>IF(TournamentData[[#This Row],[Team Number]]="","",_xlfn.XLOOKUP(TournamentData[[#This Row],[Team Number]],RobotDesignResults[Team Number],RobotDesignResults[Engineering Design Rank],NumberOfTeams+1,0,))</f>
        <v>9</v>
      </c>
      <c r="O6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68" s="29">
        <f>IF(TournamentData[[#This Row],[Team Number]]="","",IF(O68,RANK(O68,O$3:O$202,1)-COUNTIF(O$3:O$202,0),NumberOfTeams+1))</f>
        <v>9</v>
      </c>
      <c r="Q68" s="30">
        <f>_xlfn.XLOOKUP(TournamentData[[#This Row],[Team Number]],CoreValuesResults[Team Number],CoreValuesResults[Inspiration Selection],0,0,)</f>
        <v>0</v>
      </c>
      <c r="R68" s="33">
        <f>_xlfn.XLOOKUP(TournamentData[[#This Row],[Team Number]],CoreValuesResults[Team Number],CoreValuesResults[Rising All-Star Selection],0,0,)</f>
        <v>0</v>
      </c>
      <c r="S6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68" s="31"/>
      <c r="U68" s="31"/>
      <c r="V68" s="32"/>
      <c r="W68" s="91">
        <f>_xlfn.XLOOKUP(TournamentData[[#This Row],[Team Number]],CoreValuesResults[Team Number],CoreValuesResults[Core Values Score],0,0,)</f>
        <v>0</v>
      </c>
      <c r="X68" s="91">
        <f>_xlfn.XLOOKUP(TournamentData[[#This Row],[Team Number]],InnovationProjectResults[Team Number],InnovationProjectResults[Innovation Project Score],0,0,)</f>
        <v>0</v>
      </c>
      <c r="Y68" s="91">
        <f>_xlfn.XLOOKUP(TournamentData[[#This Row],[Team Number]],RobotDesignResults[Team Number],RobotDesignResults[Engineering Design Score],0,0,)</f>
        <v>0</v>
      </c>
      <c r="Z6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68" s="93">
        <f t="shared" si="2"/>
        <v>8</v>
      </c>
      <c r="AB68" s="31"/>
    </row>
    <row r="69" spans="1:28" ht="21" customHeight="1" x14ac:dyDescent="0.25">
      <c r="A69">
        <f>_xlfn.XLOOKUP(67,OfficialTeamList[Row],OfficialTeamList[Team Number],"ERROR",0)</f>
        <v>0</v>
      </c>
      <c r="B69" s="27" t="str">
        <f>_xlfn.XLOOKUP(TournamentData[[#This Row],[Team Number]],OfficialTeamList[Team Number],OfficialTeamList[Team Name],"",0,)</f>
        <v/>
      </c>
      <c r="C69" s="28">
        <f>IF(TournamentData[[#This Row],[Team Number]]="","",_xlfn.XLOOKUP(TournamentData[[#This Row],[Team Number]],RobotGameScores[Team Number],RobotGameScores[Match 1 Score],0,0,))</f>
        <v>0</v>
      </c>
      <c r="D69" s="28">
        <f>IF(TournamentData[[#This Row],[Team Number]]="","",_xlfn.XLOOKUP(TournamentData[[#This Row],[Team Number]],RobotGameScores[Team Number],RobotGameScores[Match 2 Score],0,0,))</f>
        <v>0</v>
      </c>
      <c r="E69" s="28">
        <f>IF(TournamentData[[#This Row],[Team Number]]="","",_xlfn.XLOOKUP(TournamentData[[#This Row],[Team Number]],RobotGameScores[Team Number],RobotGameScores[Match 3 Score],0,0,))</f>
        <v>0</v>
      </c>
      <c r="F69" s="28">
        <f>IF(TournamentData[[#This Row],[Team Number]]="","",_xlfn.XLOOKUP(TournamentData[[#This Row],[Team Number]],RobotGameScores[Team Number],RobotGameScores[Match 4 Score],0,0,))</f>
        <v>0</v>
      </c>
      <c r="G69" s="28">
        <f>IF(TournamentData[[#This Row],[Team Number]]="","",_xlfn.XLOOKUP(TournamentData[[#This Row],[Team Number]],RobotGameScores[Team Number],RobotGameScores[Match 5 Score],0,0,))</f>
        <v>0</v>
      </c>
      <c r="H69" s="28" t="str">
        <f>IF(TournamentData[[#This Row],[Team Name]]="","",_xlfn.XLOOKUP(TournamentData[[#This Row],[Team Name]],RobotGameScores[Team Name],RobotGameScores[Match 6 Score],0,0,))</f>
        <v/>
      </c>
      <c r="I69" s="28">
        <v>0</v>
      </c>
      <c r="J69" s="28">
        <f>SUM(TournamentData[[#This Row],[Match Score 1]:[Match Score 6]])/NumberOfRounds</f>
        <v>0</v>
      </c>
      <c r="K69" s="59">
        <f>IF(TournamentData[[#This Row],[Team Number]]="","",1+COUNTIFS($J$3:$J$201,"&gt;"&amp;J69)+COUNTIFS($J$3:$J$201,J69,$I$3:$I$201,"&gt;"&amp;I69))</f>
        <v>9</v>
      </c>
      <c r="L69" s="28">
        <f>IF(TournamentData[[#This Row],[Team Number]]="","",_xlfn.XLOOKUP(TournamentData[[#This Row],[Team Number]],CoreValuesResults[Team Number],CoreValuesResults[Core Values Rank],NumberOfTeams+1,0,))</f>
        <v>9</v>
      </c>
      <c r="M69" s="28">
        <f>IF(TournamentData[[#This Row],[Team Number]]="","",_xlfn.XLOOKUP(TournamentData[[#This Row],[Team Number]],InnovationProjectResults[Team Number],InnovationProjectResults[Innovation Project Rank],NumberOfTeams+1,0,))</f>
        <v>9</v>
      </c>
      <c r="N69" s="28">
        <f>IF(TournamentData[[#This Row],[Team Number]]="","",_xlfn.XLOOKUP(TournamentData[[#This Row],[Team Number]],RobotDesignResults[Team Number],RobotDesignResults[Engineering Design Rank],NumberOfTeams+1,0,))</f>
        <v>9</v>
      </c>
      <c r="O6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69" s="29">
        <f>IF(TournamentData[[#This Row],[Team Number]]="","",IF(O69,RANK(O69,O$3:O$202,1)-COUNTIF(O$3:O$202,0),NumberOfTeams+1))</f>
        <v>9</v>
      </c>
      <c r="Q69" s="30">
        <f>_xlfn.XLOOKUP(TournamentData[[#This Row],[Team Number]],CoreValuesResults[Team Number],CoreValuesResults[Inspiration Selection],0,0,)</f>
        <v>0</v>
      </c>
      <c r="R69" s="33">
        <f>_xlfn.XLOOKUP(TournamentData[[#This Row],[Team Number]],CoreValuesResults[Team Number],CoreValuesResults[Rising All-Star Selection],0,0,)</f>
        <v>0</v>
      </c>
      <c r="S6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69" s="31"/>
      <c r="U69" s="31"/>
      <c r="V69" s="32"/>
      <c r="W69" s="91">
        <f>_xlfn.XLOOKUP(TournamentData[[#This Row],[Team Number]],CoreValuesResults[Team Number],CoreValuesResults[Core Values Score],0,0,)</f>
        <v>0</v>
      </c>
      <c r="X69" s="91">
        <f>_xlfn.XLOOKUP(TournamentData[[#This Row],[Team Number]],InnovationProjectResults[Team Number],InnovationProjectResults[Innovation Project Score],0,0,)</f>
        <v>0</v>
      </c>
      <c r="Y69" s="91">
        <f>_xlfn.XLOOKUP(TournamentData[[#This Row],[Team Number]],RobotDesignResults[Team Number],RobotDesignResults[Engineering Design Score],0,0,)</f>
        <v>0</v>
      </c>
      <c r="Z6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69" s="93">
        <f t="shared" si="2"/>
        <v>8</v>
      </c>
      <c r="AB69" s="31"/>
    </row>
    <row r="70" spans="1:28" ht="21" customHeight="1" x14ac:dyDescent="0.25">
      <c r="A70">
        <f>_xlfn.XLOOKUP(68,OfficialTeamList[Row],OfficialTeamList[Team Number],"ERROR",0)</f>
        <v>0</v>
      </c>
      <c r="B70" s="27" t="str">
        <f>_xlfn.XLOOKUP(TournamentData[[#This Row],[Team Number]],OfficialTeamList[Team Number],OfficialTeamList[Team Name],"",0,)</f>
        <v/>
      </c>
      <c r="C70" s="28">
        <f>IF(TournamentData[[#This Row],[Team Number]]="","",_xlfn.XLOOKUP(TournamentData[[#This Row],[Team Number]],RobotGameScores[Team Number],RobotGameScores[Match 1 Score],0,0,))</f>
        <v>0</v>
      </c>
      <c r="D70" s="28">
        <f>IF(TournamentData[[#This Row],[Team Number]]="","",_xlfn.XLOOKUP(TournamentData[[#This Row],[Team Number]],RobotGameScores[Team Number],RobotGameScores[Match 2 Score],0,0,))</f>
        <v>0</v>
      </c>
      <c r="E70" s="28">
        <f>IF(TournamentData[[#This Row],[Team Number]]="","",_xlfn.XLOOKUP(TournamentData[[#This Row],[Team Number]],RobotGameScores[Team Number],RobotGameScores[Match 3 Score],0,0,))</f>
        <v>0</v>
      </c>
      <c r="F70" s="28">
        <f>IF(TournamentData[[#This Row],[Team Number]]="","",_xlfn.XLOOKUP(TournamentData[[#This Row],[Team Number]],RobotGameScores[Team Number],RobotGameScores[Match 4 Score],0,0,))</f>
        <v>0</v>
      </c>
      <c r="G70" s="28">
        <f>IF(TournamentData[[#This Row],[Team Number]]="","",_xlfn.XLOOKUP(TournamentData[[#This Row],[Team Number]],RobotGameScores[Team Number],RobotGameScores[Match 5 Score],0,0,))</f>
        <v>0</v>
      </c>
      <c r="H70" s="28" t="str">
        <f>IF(TournamentData[[#This Row],[Team Name]]="","",_xlfn.XLOOKUP(TournamentData[[#This Row],[Team Name]],RobotGameScores[Team Name],RobotGameScores[Match 6 Score],0,0,))</f>
        <v/>
      </c>
      <c r="I70" s="28">
        <v>0</v>
      </c>
      <c r="J70" s="28">
        <f>SUM(TournamentData[[#This Row],[Match Score 1]:[Match Score 6]])/NumberOfRounds</f>
        <v>0</v>
      </c>
      <c r="K70" s="60">
        <f>IF(TournamentData[[#This Row],[Team Number]]="","",1+COUNTIFS($J$3:$J$201,"&gt;"&amp;J70)+COUNTIFS($J$3:$J$201,J70,$I$3:$I$201,"&gt;"&amp;I70))</f>
        <v>9</v>
      </c>
      <c r="L70" s="28">
        <f>IF(TournamentData[[#This Row],[Team Number]]="","",_xlfn.XLOOKUP(TournamentData[[#This Row],[Team Number]],CoreValuesResults[Team Number],CoreValuesResults[Core Values Rank],NumberOfTeams+1,0,))</f>
        <v>9</v>
      </c>
      <c r="M70" s="28">
        <f>IF(TournamentData[[#This Row],[Team Number]]="","",_xlfn.XLOOKUP(TournamentData[[#This Row],[Team Number]],InnovationProjectResults[Team Number],InnovationProjectResults[Innovation Project Rank],NumberOfTeams+1,0,))</f>
        <v>9</v>
      </c>
      <c r="N70" s="28">
        <f>IF(TournamentData[[#This Row],[Team Number]]="","",_xlfn.XLOOKUP(TournamentData[[#This Row],[Team Number]],RobotDesignResults[Team Number],RobotDesignResults[Engineering Design Rank],NumberOfTeams+1,0,))</f>
        <v>9</v>
      </c>
      <c r="O7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70" s="29">
        <f>IF(TournamentData[[#This Row],[Team Number]]="","",IF(O70,RANK(O70,O$3:O$202,1)-COUNTIF(O$3:O$202,0),NumberOfTeams+1))</f>
        <v>9</v>
      </c>
      <c r="Q70" s="30">
        <f>_xlfn.XLOOKUP(TournamentData[[#This Row],[Team Number]],CoreValuesResults[Team Number],CoreValuesResults[Inspiration Selection],0,0,)</f>
        <v>0</v>
      </c>
      <c r="R70" s="33">
        <f>_xlfn.XLOOKUP(TournamentData[[#This Row],[Team Number]],CoreValuesResults[Team Number],CoreValuesResults[Rising All-Star Selection],0,0,)</f>
        <v>0</v>
      </c>
      <c r="S7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70" s="31"/>
      <c r="U70" s="31"/>
      <c r="V70" s="32"/>
      <c r="W70" s="91">
        <f>_xlfn.XLOOKUP(TournamentData[[#This Row],[Team Number]],CoreValuesResults[Team Number],CoreValuesResults[Core Values Score],0,0,)</f>
        <v>0</v>
      </c>
      <c r="X70" s="91">
        <f>_xlfn.XLOOKUP(TournamentData[[#This Row],[Team Number]],InnovationProjectResults[Team Number],InnovationProjectResults[Innovation Project Score],0,0,)</f>
        <v>0</v>
      </c>
      <c r="Y70" s="91">
        <f>_xlfn.XLOOKUP(TournamentData[[#This Row],[Team Number]],RobotDesignResults[Team Number],RobotDesignResults[Engineering Design Score],0,0,)</f>
        <v>0</v>
      </c>
      <c r="Z7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70" s="93">
        <f t="shared" si="2"/>
        <v>8</v>
      </c>
      <c r="AB70" s="31"/>
    </row>
    <row r="71" spans="1:28" ht="21" customHeight="1" x14ac:dyDescent="0.25">
      <c r="A71">
        <f>_xlfn.XLOOKUP(69,OfficialTeamList[Row],OfficialTeamList[Team Number],"ERROR",0)</f>
        <v>0</v>
      </c>
      <c r="B71" s="27" t="str">
        <f>_xlfn.XLOOKUP(TournamentData[[#This Row],[Team Number]],OfficialTeamList[Team Number],OfficialTeamList[Team Name],"",0,)</f>
        <v/>
      </c>
      <c r="C71" s="28">
        <f>IF(TournamentData[[#This Row],[Team Number]]="","",_xlfn.XLOOKUP(TournamentData[[#This Row],[Team Number]],RobotGameScores[Team Number],RobotGameScores[Match 1 Score],0,0,))</f>
        <v>0</v>
      </c>
      <c r="D71" s="28">
        <f>IF(TournamentData[[#This Row],[Team Number]]="","",_xlfn.XLOOKUP(TournamentData[[#This Row],[Team Number]],RobotGameScores[Team Number],RobotGameScores[Match 2 Score],0,0,))</f>
        <v>0</v>
      </c>
      <c r="E71" s="28">
        <f>IF(TournamentData[[#This Row],[Team Number]]="","",_xlfn.XLOOKUP(TournamentData[[#This Row],[Team Number]],RobotGameScores[Team Number],RobotGameScores[Match 3 Score],0,0,))</f>
        <v>0</v>
      </c>
      <c r="F71" s="28">
        <f>IF(TournamentData[[#This Row],[Team Number]]="","",_xlfn.XLOOKUP(TournamentData[[#This Row],[Team Number]],RobotGameScores[Team Number],RobotGameScores[Match 4 Score],0,0,))</f>
        <v>0</v>
      </c>
      <c r="G71" s="28">
        <f>IF(TournamentData[[#This Row],[Team Number]]="","",_xlfn.XLOOKUP(TournamentData[[#This Row],[Team Number]],RobotGameScores[Team Number],RobotGameScores[Match 5 Score],0,0,))</f>
        <v>0</v>
      </c>
      <c r="H71" s="28" t="str">
        <f>IF(TournamentData[[#This Row],[Team Name]]="","",_xlfn.XLOOKUP(TournamentData[[#This Row],[Team Name]],RobotGameScores[Team Name],RobotGameScores[Match 6 Score],0,0,))</f>
        <v/>
      </c>
      <c r="I71" s="28">
        <v>0</v>
      </c>
      <c r="J71" s="28">
        <f>SUM(TournamentData[[#This Row],[Match Score 1]:[Match Score 6]])/NumberOfRounds</f>
        <v>0</v>
      </c>
      <c r="K71" s="59">
        <f>IF(TournamentData[[#This Row],[Team Number]]="","",1+COUNTIFS($J$3:$J$201,"&gt;"&amp;J71)+COUNTIFS($J$3:$J$201,J71,$I$3:$I$201,"&gt;"&amp;I71))</f>
        <v>9</v>
      </c>
      <c r="L71" s="28">
        <f>IF(TournamentData[[#This Row],[Team Number]]="","",_xlfn.XLOOKUP(TournamentData[[#This Row],[Team Number]],CoreValuesResults[Team Number],CoreValuesResults[Core Values Rank],NumberOfTeams+1,0,))</f>
        <v>9</v>
      </c>
      <c r="M71" s="28">
        <f>IF(TournamentData[[#This Row],[Team Number]]="","",_xlfn.XLOOKUP(TournamentData[[#This Row],[Team Number]],InnovationProjectResults[Team Number],InnovationProjectResults[Innovation Project Rank],NumberOfTeams+1,0,))</f>
        <v>9</v>
      </c>
      <c r="N71" s="28">
        <f>IF(TournamentData[[#This Row],[Team Number]]="","",_xlfn.XLOOKUP(TournamentData[[#This Row],[Team Number]],RobotDesignResults[Team Number],RobotDesignResults[Engineering Design Rank],NumberOfTeams+1,0,))</f>
        <v>9</v>
      </c>
      <c r="O7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71" s="29">
        <f>IF(TournamentData[[#This Row],[Team Number]]="","",IF(O71,RANK(O71,O$3:O$202,1)-COUNTIF(O$3:O$202,0),NumberOfTeams+1))</f>
        <v>9</v>
      </c>
      <c r="Q71" s="30">
        <f>_xlfn.XLOOKUP(TournamentData[[#This Row],[Team Number]],CoreValuesResults[Team Number],CoreValuesResults[Inspiration Selection],0,0,)</f>
        <v>0</v>
      </c>
      <c r="R71" s="33">
        <f>_xlfn.XLOOKUP(TournamentData[[#This Row],[Team Number]],CoreValuesResults[Team Number],CoreValuesResults[Rising All-Star Selection],0,0,)</f>
        <v>0</v>
      </c>
      <c r="S7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71" s="31"/>
      <c r="U71" s="31"/>
      <c r="V71" s="32"/>
      <c r="W71" s="91">
        <f>_xlfn.XLOOKUP(TournamentData[[#This Row],[Team Number]],CoreValuesResults[Team Number],CoreValuesResults[Core Values Score],0,0,)</f>
        <v>0</v>
      </c>
      <c r="X71" s="91">
        <f>_xlfn.XLOOKUP(TournamentData[[#This Row],[Team Number]],InnovationProjectResults[Team Number],InnovationProjectResults[Innovation Project Score],0,0,)</f>
        <v>0</v>
      </c>
      <c r="Y71" s="91">
        <f>_xlfn.XLOOKUP(TournamentData[[#This Row],[Team Number]],RobotDesignResults[Team Number],RobotDesignResults[Engineering Design Score],0,0,)</f>
        <v>0</v>
      </c>
      <c r="Z7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71" s="93">
        <f t="shared" si="2"/>
        <v>8</v>
      </c>
      <c r="AB71" s="31"/>
    </row>
    <row r="72" spans="1:28" ht="21" customHeight="1" x14ac:dyDescent="0.25">
      <c r="A72">
        <f>_xlfn.XLOOKUP(70,OfficialTeamList[Row],OfficialTeamList[Team Number],"ERROR",0)</f>
        <v>0</v>
      </c>
      <c r="B72" s="27" t="str">
        <f>_xlfn.XLOOKUP(TournamentData[[#This Row],[Team Number]],OfficialTeamList[Team Number],OfficialTeamList[Team Name],"",0,)</f>
        <v/>
      </c>
      <c r="C72" s="28">
        <f>IF(TournamentData[[#This Row],[Team Number]]="","",_xlfn.XLOOKUP(TournamentData[[#This Row],[Team Number]],RobotGameScores[Team Number],RobotGameScores[Match 1 Score],0,0,))</f>
        <v>0</v>
      </c>
      <c r="D72" s="28">
        <f>IF(TournamentData[[#This Row],[Team Number]]="","",_xlfn.XLOOKUP(TournamentData[[#This Row],[Team Number]],RobotGameScores[Team Number],RobotGameScores[Match 2 Score],0,0,))</f>
        <v>0</v>
      </c>
      <c r="E72" s="28">
        <f>IF(TournamentData[[#This Row],[Team Number]]="","",_xlfn.XLOOKUP(TournamentData[[#This Row],[Team Number]],RobotGameScores[Team Number],RobotGameScores[Match 3 Score],0,0,))</f>
        <v>0</v>
      </c>
      <c r="F72" s="28">
        <f>IF(TournamentData[[#This Row],[Team Number]]="","",_xlfn.XLOOKUP(TournamentData[[#This Row],[Team Number]],RobotGameScores[Team Number],RobotGameScores[Match 4 Score],0,0,))</f>
        <v>0</v>
      </c>
      <c r="G72" s="28">
        <f>IF(TournamentData[[#This Row],[Team Number]]="","",_xlfn.XLOOKUP(TournamentData[[#This Row],[Team Number]],RobotGameScores[Team Number],RobotGameScores[Match 5 Score],0,0,))</f>
        <v>0</v>
      </c>
      <c r="H72" s="28" t="str">
        <f>IF(TournamentData[[#This Row],[Team Name]]="","",_xlfn.XLOOKUP(TournamentData[[#This Row],[Team Name]],RobotGameScores[Team Name],RobotGameScores[Match 6 Score],0,0,))</f>
        <v/>
      </c>
      <c r="I72" s="28">
        <v>0</v>
      </c>
      <c r="J72" s="28">
        <f>SUM(TournamentData[[#This Row],[Match Score 1]:[Match Score 6]])/NumberOfRounds</f>
        <v>0</v>
      </c>
      <c r="K72" s="60">
        <f>IF(TournamentData[[#This Row],[Team Number]]="","",1+COUNTIFS($J$3:$J$201,"&gt;"&amp;J72)+COUNTIFS($J$3:$J$201,J72,$I$3:$I$201,"&gt;"&amp;I72))</f>
        <v>9</v>
      </c>
      <c r="L72" s="28">
        <f>IF(TournamentData[[#This Row],[Team Number]]="","",_xlfn.XLOOKUP(TournamentData[[#This Row],[Team Number]],CoreValuesResults[Team Number],CoreValuesResults[Core Values Rank],NumberOfTeams+1,0,))</f>
        <v>9</v>
      </c>
      <c r="M72" s="28">
        <f>IF(TournamentData[[#This Row],[Team Number]]="","",_xlfn.XLOOKUP(TournamentData[[#This Row],[Team Number]],InnovationProjectResults[Team Number],InnovationProjectResults[Innovation Project Rank],NumberOfTeams+1,0,))</f>
        <v>9</v>
      </c>
      <c r="N72" s="28">
        <f>IF(TournamentData[[#This Row],[Team Number]]="","",_xlfn.XLOOKUP(TournamentData[[#This Row],[Team Number]],RobotDesignResults[Team Number],RobotDesignResults[Engineering Design Rank],NumberOfTeams+1,0,))</f>
        <v>9</v>
      </c>
      <c r="O7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72" s="29">
        <f>IF(TournamentData[[#This Row],[Team Number]]="","",IF(O72,RANK(O72,O$3:O$202,1)-COUNTIF(O$3:O$202,0),NumberOfTeams+1))</f>
        <v>9</v>
      </c>
      <c r="Q72" s="30">
        <f>_xlfn.XLOOKUP(TournamentData[[#This Row],[Team Number]],CoreValuesResults[Team Number],CoreValuesResults[Inspiration Selection],0,0,)</f>
        <v>0</v>
      </c>
      <c r="R72" s="33">
        <f>_xlfn.XLOOKUP(TournamentData[[#This Row],[Team Number]],CoreValuesResults[Team Number],CoreValuesResults[Rising All-Star Selection],0,0,)</f>
        <v>0</v>
      </c>
      <c r="S7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72" s="31"/>
      <c r="U72" s="31"/>
      <c r="V72" s="32"/>
      <c r="W72" s="91">
        <f>_xlfn.XLOOKUP(TournamentData[[#This Row],[Team Number]],CoreValuesResults[Team Number],CoreValuesResults[Core Values Score],0,0,)</f>
        <v>0</v>
      </c>
      <c r="X72" s="91">
        <f>_xlfn.XLOOKUP(TournamentData[[#This Row],[Team Number]],InnovationProjectResults[Team Number],InnovationProjectResults[Innovation Project Score],0,0,)</f>
        <v>0</v>
      </c>
      <c r="Y72" s="91">
        <f>_xlfn.XLOOKUP(TournamentData[[#This Row],[Team Number]],RobotDesignResults[Team Number],RobotDesignResults[Engineering Design Score],0,0,)</f>
        <v>0</v>
      </c>
      <c r="Z7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72" s="93">
        <f t="shared" si="2"/>
        <v>8</v>
      </c>
      <c r="AB72" s="31"/>
    </row>
    <row r="73" spans="1:28" ht="21" customHeight="1" x14ac:dyDescent="0.25">
      <c r="A73">
        <f>_xlfn.XLOOKUP(71,OfficialTeamList[Row],OfficialTeamList[Team Number],"ERROR",0)</f>
        <v>0</v>
      </c>
      <c r="B73" s="27" t="str">
        <f>_xlfn.XLOOKUP(TournamentData[[#This Row],[Team Number]],OfficialTeamList[Team Number],OfficialTeamList[Team Name],"",0,)</f>
        <v/>
      </c>
      <c r="C73" s="28">
        <f>IF(TournamentData[[#This Row],[Team Number]]="","",_xlfn.XLOOKUP(TournamentData[[#This Row],[Team Number]],RobotGameScores[Team Number],RobotGameScores[Match 1 Score],0,0,))</f>
        <v>0</v>
      </c>
      <c r="D73" s="28">
        <f>IF(TournamentData[[#This Row],[Team Number]]="","",_xlfn.XLOOKUP(TournamentData[[#This Row],[Team Number]],RobotGameScores[Team Number],RobotGameScores[Match 2 Score],0,0,))</f>
        <v>0</v>
      </c>
      <c r="E73" s="28">
        <f>IF(TournamentData[[#This Row],[Team Number]]="","",_xlfn.XLOOKUP(TournamentData[[#This Row],[Team Number]],RobotGameScores[Team Number],RobotGameScores[Match 3 Score],0,0,))</f>
        <v>0</v>
      </c>
      <c r="F73" s="28">
        <f>IF(TournamentData[[#This Row],[Team Number]]="","",_xlfn.XLOOKUP(TournamentData[[#This Row],[Team Number]],RobotGameScores[Team Number],RobotGameScores[Match 4 Score],0,0,))</f>
        <v>0</v>
      </c>
      <c r="G73" s="28">
        <f>IF(TournamentData[[#This Row],[Team Number]]="","",_xlfn.XLOOKUP(TournamentData[[#This Row],[Team Number]],RobotGameScores[Team Number],RobotGameScores[Match 5 Score],0,0,))</f>
        <v>0</v>
      </c>
      <c r="H73" s="28" t="str">
        <f>IF(TournamentData[[#This Row],[Team Name]]="","",_xlfn.XLOOKUP(TournamentData[[#This Row],[Team Name]],RobotGameScores[Team Name],RobotGameScores[Match 6 Score],0,0,))</f>
        <v/>
      </c>
      <c r="I73" s="28">
        <v>0</v>
      </c>
      <c r="J73" s="28">
        <f>SUM(TournamentData[[#This Row],[Match Score 1]:[Match Score 6]])/NumberOfRounds</f>
        <v>0</v>
      </c>
      <c r="K73" s="59">
        <f>IF(TournamentData[[#This Row],[Team Number]]="","",1+COUNTIFS($J$3:$J$201,"&gt;"&amp;J73)+COUNTIFS($J$3:$J$201,J73,$I$3:$I$201,"&gt;"&amp;I73))</f>
        <v>9</v>
      </c>
      <c r="L73" s="28">
        <f>IF(TournamentData[[#This Row],[Team Number]]="","",_xlfn.XLOOKUP(TournamentData[[#This Row],[Team Number]],CoreValuesResults[Team Number],CoreValuesResults[Core Values Rank],NumberOfTeams+1,0,))</f>
        <v>9</v>
      </c>
      <c r="M73" s="28">
        <f>IF(TournamentData[[#This Row],[Team Number]]="","",_xlfn.XLOOKUP(TournamentData[[#This Row],[Team Number]],InnovationProjectResults[Team Number],InnovationProjectResults[Innovation Project Rank],NumberOfTeams+1,0,))</f>
        <v>9</v>
      </c>
      <c r="N73" s="28">
        <f>IF(TournamentData[[#This Row],[Team Number]]="","",_xlfn.XLOOKUP(TournamentData[[#This Row],[Team Number]],RobotDesignResults[Team Number],RobotDesignResults[Engineering Design Rank],NumberOfTeams+1,0,))</f>
        <v>9</v>
      </c>
      <c r="O7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73" s="29">
        <f>IF(TournamentData[[#This Row],[Team Number]]="","",IF(O73,RANK(O73,O$3:O$202,1)-COUNTIF(O$3:O$202,0),NumberOfTeams+1))</f>
        <v>9</v>
      </c>
      <c r="Q73" s="30">
        <f>_xlfn.XLOOKUP(TournamentData[[#This Row],[Team Number]],CoreValuesResults[Team Number],CoreValuesResults[Inspiration Selection],0,0,)</f>
        <v>0</v>
      </c>
      <c r="R73" s="33">
        <f>_xlfn.XLOOKUP(TournamentData[[#This Row],[Team Number]],CoreValuesResults[Team Number],CoreValuesResults[Rising All-Star Selection],0,0,)</f>
        <v>0</v>
      </c>
      <c r="S7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73" s="31"/>
      <c r="U73" s="31"/>
      <c r="V73" s="32"/>
      <c r="W73" s="91">
        <f>_xlfn.XLOOKUP(TournamentData[[#This Row],[Team Number]],CoreValuesResults[Team Number],CoreValuesResults[Core Values Score],0,0,)</f>
        <v>0</v>
      </c>
      <c r="X73" s="91">
        <f>_xlfn.XLOOKUP(TournamentData[[#This Row],[Team Number]],InnovationProjectResults[Team Number],InnovationProjectResults[Innovation Project Score],0,0,)</f>
        <v>0</v>
      </c>
      <c r="Y73" s="91">
        <f>_xlfn.XLOOKUP(TournamentData[[#This Row],[Team Number]],RobotDesignResults[Team Number],RobotDesignResults[Engineering Design Score],0,0,)</f>
        <v>0</v>
      </c>
      <c r="Z7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73" s="93">
        <f t="shared" si="2"/>
        <v>8</v>
      </c>
      <c r="AB73" s="31"/>
    </row>
    <row r="74" spans="1:28" ht="21" customHeight="1" x14ac:dyDescent="0.25">
      <c r="A74">
        <f>_xlfn.XLOOKUP(72,OfficialTeamList[Row],OfficialTeamList[Team Number],"ERROR",0)</f>
        <v>0</v>
      </c>
      <c r="B74" s="27" t="str">
        <f>_xlfn.XLOOKUP(TournamentData[[#This Row],[Team Number]],OfficialTeamList[Team Number],OfficialTeamList[Team Name],"",0,)</f>
        <v/>
      </c>
      <c r="C74" s="28">
        <f>IF(TournamentData[[#This Row],[Team Number]]="","",_xlfn.XLOOKUP(TournamentData[[#This Row],[Team Number]],RobotGameScores[Team Number],RobotGameScores[Match 1 Score],0,0,))</f>
        <v>0</v>
      </c>
      <c r="D74" s="28">
        <f>IF(TournamentData[[#This Row],[Team Number]]="","",_xlfn.XLOOKUP(TournamentData[[#This Row],[Team Number]],RobotGameScores[Team Number],RobotGameScores[Match 2 Score],0,0,))</f>
        <v>0</v>
      </c>
      <c r="E74" s="28">
        <f>IF(TournamentData[[#This Row],[Team Number]]="","",_xlfn.XLOOKUP(TournamentData[[#This Row],[Team Number]],RobotGameScores[Team Number],RobotGameScores[Match 3 Score],0,0,))</f>
        <v>0</v>
      </c>
      <c r="F74" s="28">
        <f>IF(TournamentData[[#This Row],[Team Number]]="","",_xlfn.XLOOKUP(TournamentData[[#This Row],[Team Number]],RobotGameScores[Team Number],RobotGameScores[Match 4 Score],0,0,))</f>
        <v>0</v>
      </c>
      <c r="G74" s="28">
        <f>IF(TournamentData[[#This Row],[Team Number]]="","",_xlfn.XLOOKUP(TournamentData[[#This Row],[Team Number]],RobotGameScores[Team Number],RobotGameScores[Match 5 Score],0,0,))</f>
        <v>0</v>
      </c>
      <c r="H74" s="28" t="str">
        <f>IF(TournamentData[[#This Row],[Team Name]]="","",_xlfn.XLOOKUP(TournamentData[[#This Row],[Team Name]],RobotGameScores[Team Name],RobotGameScores[Match 6 Score],0,0,))</f>
        <v/>
      </c>
      <c r="I74" s="28">
        <v>0</v>
      </c>
      <c r="J74" s="28">
        <f>SUM(TournamentData[[#This Row],[Match Score 1]:[Match Score 6]])/NumberOfRounds</f>
        <v>0</v>
      </c>
      <c r="K74" s="60">
        <f>IF(TournamentData[[#This Row],[Team Number]]="","",1+COUNTIFS($J$3:$J$201,"&gt;"&amp;J74)+COUNTIFS($J$3:$J$201,J74,$I$3:$I$201,"&gt;"&amp;I74))</f>
        <v>9</v>
      </c>
      <c r="L74" s="28">
        <f>IF(TournamentData[[#This Row],[Team Number]]="","",_xlfn.XLOOKUP(TournamentData[[#This Row],[Team Number]],CoreValuesResults[Team Number],CoreValuesResults[Core Values Rank],NumberOfTeams+1,0,))</f>
        <v>9</v>
      </c>
      <c r="M74" s="28">
        <f>IF(TournamentData[[#This Row],[Team Number]]="","",_xlfn.XLOOKUP(TournamentData[[#This Row],[Team Number]],InnovationProjectResults[Team Number],InnovationProjectResults[Innovation Project Rank],NumberOfTeams+1,0,))</f>
        <v>9</v>
      </c>
      <c r="N74" s="28">
        <f>IF(TournamentData[[#This Row],[Team Number]]="","",_xlfn.XLOOKUP(TournamentData[[#This Row],[Team Number]],RobotDesignResults[Team Number],RobotDesignResults[Engineering Design Rank],NumberOfTeams+1,0,))</f>
        <v>9</v>
      </c>
      <c r="O7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74" s="29">
        <f>IF(TournamentData[[#This Row],[Team Number]]="","",IF(O74,RANK(O74,O$3:O$202,1)-COUNTIF(O$3:O$202,0),NumberOfTeams+1))</f>
        <v>9</v>
      </c>
      <c r="Q74" s="30">
        <f>_xlfn.XLOOKUP(TournamentData[[#This Row],[Team Number]],CoreValuesResults[Team Number],CoreValuesResults[Inspiration Selection],0,0,)</f>
        <v>0</v>
      </c>
      <c r="R74" s="33">
        <f>_xlfn.XLOOKUP(TournamentData[[#This Row],[Team Number]],CoreValuesResults[Team Number],CoreValuesResults[Rising All-Star Selection],0,0,)</f>
        <v>0</v>
      </c>
      <c r="S7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74" s="31"/>
      <c r="U74" s="31"/>
      <c r="V74" s="32"/>
      <c r="W74" s="91">
        <f>_xlfn.XLOOKUP(TournamentData[[#This Row],[Team Number]],CoreValuesResults[Team Number],CoreValuesResults[Core Values Score],0,0,)</f>
        <v>0</v>
      </c>
      <c r="X74" s="91">
        <f>_xlfn.XLOOKUP(TournamentData[[#This Row],[Team Number]],InnovationProjectResults[Team Number],InnovationProjectResults[Innovation Project Score],0,0,)</f>
        <v>0</v>
      </c>
      <c r="Y74" s="91">
        <f>_xlfn.XLOOKUP(TournamentData[[#This Row],[Team Number]],RobotDesignResults[Team Number],RobotDesignResults[Engineering Design Score],0,0,)</f>
        <v>0</v>
      </c>
      <c r="Z7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74" s="93">
        <f t="shared" si="2"/>
        <v>8</v>
      </c>
      <c r="AB74" s="31"/>
    </row>
    <row r="75" spans="1:28" ht="21" customHeight="1" x14ac:dyDescent="0.25">
      <c r="A75">
        <f>_xlfn.XLOOKUP(73,OfficialTeamList[Row],OfficialTeamList[Team Number],"ERROR",0)</f>
        <v>0</v>
      </c>
      <c r="B75" s="27" t="str">
        <f>_xlfn.XLOOKUP(TournamentData[[#This Row],[Team Number]],OfficialTeamList[Team Number],OfficialTeamList[Team Name],"",0,)</f>
        <v/>
      </c>
      <c r="C75" s="28">
        <f>IF(TournamentData[[#This Row],[Team Number]]="","",_xlfn.XLOOKUP(TournamentData[[#This Row],[Team Number]],RobotGameScores[Team Number],RobotGameScores[Match 1 Score],0,0,))</f>
        <v>0</v>
      </c>
      <c r="D75" s="28">
        <f>IF(TournamentData[[#This Row],[Team Number]]="","",_xlfn.XLOOKUP(TournamentData[[#This Row],[Team Number]],RobotGameScores[Team Number],RobotGameScores[Match 2 Score],0,0,))</f>
        <v>0</v>
      </c>
      <c r="E75" s="28">
        <f>IF(TournamentData[[#This Row],[Team Number]]="","",_xlfn.XLOOKUP(TournamentData[[#This Row],[Team Number]],RobotGameScores[Team Number],RobotGameScores[Match 3 Score],0,0,))</f>
        <v>0</v>
      </c>
      <c r="F75" s="28">
        <f>IF(TournamentData[[#This Row],[Team Number]]="","",_xlfn.XLOOKUP(TournamentData[[#This Row],[Team Number]],RobotGameScores[Team Number],RobotGameScores[Match 4 Score],0,0,))</f>
        <v>0</v>
      </c>
      <c r="G75" s="28">
        <f>IF(TournamentData[[#This Row],[Team Number]]="","",_xlfn.XLOOKUP(TournamentData[[#This Row],[Team Number]],RobotGameScores[Team Number],RobotGameScores[Match 5 Score],0,0,))</f>
        <v>0</v>
      </c>
      <c r="H75" s="28" t="str">
        <f>IF(TournamentData[[#This Row],[Team Name]]="","",_xlfn.XLOOKUP(TournamentData[[#This Row],[Team Name]],RobotGameScores[Team Name],RobotGameScores[Match 6 Score],0,0,))</f>
        <v/>
      </c>
      <c r="I75" s="28">
        <v>0</v>
      </c>
      <c r="J75" s="28">
        <f>SUM(TournamentData[[#This Row],[Match Score 1]:[Match Score 6]])/NumberOfRounds</f>
        <v>0</v>
      </c>
      <c r="K75" s="59">
        <f>IF(TournamentData[[#This Row],[Team Number]]="","",1+COUNTIFS($J$3:$J$201,"&gt;"&amp;J75)+COUNTIFS($J$3:$J$201,J75,$I$3:$I$201,"&gt;"&amp;I75))</f>
        <v>9</v>
      </c>
      <c r="L75" s="28">
        <f>IF(TournamentData[[#This Row],[Team Number]]="","",_xlfn.XLOOKUP(TournamentData[[#This Row],[Team Number]],CoreValuesResults[Team Number],CoreValuesResults[Core Values Rank],NumberOfTeams+1,0,))</f>
        <v>9</v>
      </c>
      <c r="M75" s="28">
        <f>IF(TournamentData[[#This Row],[Team Number]]="","",_xlfn.XLOOKUP(TournamentData[[#This Row],[Team Number]],InnovationProjectResults[Team Number],InnovationProjectResults[Innovation Project Rank],NumberOfTeams+1,0,))</f>
        <v>9</v>
      </c>
      <c r="N75" s="28">
        <f>IF(TournamentData[[#This Row],[Team Number]]="","",_xlfn.XLOOKUP(TournamentData[[#This Row],[Team Number]],RobotDesignResults[Team Number],RobotDesignResults[Engineering Design Rank],NumberOfTeams+1,0,))</f>
        <v>9</v>
      </c>
      <c r="O7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75" s="29">
        <f>IF(TournamentData[[#This Row],[Team Number]]="","",IF(O75,RANK(O75,O$3:O$202,1)-COUNTIF(O$3:O$202,0),NumberOfTeams+1))</f>
        <v>9</v>
      </c>
      <c r="Q75" s="30">
        <f>_xlfn.XLOOKUP(TournamentData[[#This Row],[Team Number]],CoreValuesResults[Team Number],CoreValuesResults[Inspiration Selection],0,0,)</f>
        <v>0</v>
      </c>
      <c r="R75" s="33">
        <f>_xlfn.XLOOKUP(TournamentData[[#This Row],[Team Number]],CoreValuesResults[Team Number],CoreValuesResults[Rising All-Star Selection],0,0,)</f>
        <v>0</v>
      </c>
      <c r="S7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75" s="31"/>
      <c r="U75" s="31"/>
      <c r="V75" s="32"/>
      <c r="W75" s="91">
        <f>_xlfn.XLOOKUP(TournamentData[[#This Row],[Team Number]],CoreValuesResults[Team Number],CoreValuesResults[Core Values Score],0,0,)</f>
        <v>0</v>
      </c>
      <c r="X75" s="91">
        <f>_xlfn.XLOOKUP(TournamentData[[#This Row],[Team Number]],InnovationProjectResults[Team Number],InnovationProjectResults[Innovation Project Score],0,0,)</f>
        <v>0</v>
      </c>
      <c r="Y75" s="91">
        <f>_xlfn.XLOOKUP(TournamentData[[#This Row],[Team Number]],RobotDesignResults[Team Number],RobotDesignResults[Engineering Design Score],0,0,)</f>
        <v>0</v>
      </c>
      <c r="Z7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75" s="93">
        <f t="shared" si="2"/>
        <v>8</v>
      </c>
      <c r="AB75" s="31"/>
    </row>
    <row r="76" spans="1:28" ht="21" customHeight="1" x14ac:dyDescent="0.25">
      <c r="A76">
        <f>_xlfn.XLOOKUP(74,OfficialTeamList[Row],OfficialTeamList[Team Number],"ERROR",0)</f>
        <v>0</v>
      </c>
      <c r="B76" s="27" t="str">
        <f>_xlfn.XLOOKUP(TournamentData[[#This Row],[Team Number]],OfficialTeamList[Team Number],OfficialTeamList[Team Name],"",0,)</f>
        <v/>
      </c>
      <c r="C76" s="28">
        <f>IF(TournamentData[[#This Row],[Team Number]]="","",_xlfn.XLOOKUP(TournamentData[[#This Row],[Team Number]],RobotGameScores[Team Number],RobotGameScores[Match 1 Score],0,0,))</f>
        <v>0</v>
      </c>
      <c r="D76" s="28">
        <f>IF(TournamentData[[#This Row],[Team Number]]="","",_xlfn.XLOOKUP(TournamentData[[#This Row],[Team Number]],RobotGameScores[Team Number],RobotGameScores[Match 2 Score],0,0,))</f>
        <v>0</v>
      </c>
      <c r="E76" s="28">
        <f>IF(TournamentData[[#This Row],[Team Number]]="","",_xlfn.XLOOKUP(TournamentData[[#This Row],[Team Number]],RobotGameScores[Team Number],RobotGameScores[Match 3 Score],0,0,))</f>
        <v>0</v>
      </c>
      <c r="F76" s="28">
        <f>IF(TournamentData[[#This Row],[Team Number]]="","",_xlfn.XLOOKUP(TournamentData[[#This Row],[Team Number]],RobotGameScores[Team Number],RobotGameScores[Match 4 Score],0,0,))</f>
        <v>0</v>
      </c>
      <c r="G76" s="28">
        <f>IF(TournamentData[[#This Row],[Team Number]]="","",_xlfn.XLOOKUP(TournamentData[[#This Row],[Team Number]],RobotGameScores[Team Number],RobotGameScores[Match 5 Score],0,0,))</f>
        <v>0</v>
      </c>
      <c r="H76" s="28" t="str">
        <f>IF(TournamentData[[#This Row],[Team Name]]="","",_xlfn.XLOOKUP(TournamentData[[#This Row],[Team Name]],RobotGameScores[Team Name],RobotGameScores[Match 6 Score],0,0,))</f>
        <v/>
      </c>
      <c r="I76" s="28">
        <v>0</v>
      </c>
      <c r="J76" s="28">
        <f>SUM(TournamentData[[#This Row],[Match Score 1]:[Match Score 6]])/NumberOfRounds</f>
        <v>0</v>
      </c>
      <c r="K76" s="60">
        <f>IF(TournamentData[[#This Row],[Team Number]]="","",1+COUNTIFS($J$3:$J$201,"&gt;"&amp;J76)+COUNTIFS($J$3:$J$201,J76,$I$3:$I$201,"&gt;"&amp;I76))</f>
        <v>9</v>
      </c>
      <c r="L76" s="28">
        <f>IF(TournamentData[[#This Row],[Team Number]]="","",_xlfn.XLOOKUP(TournamentData[[#This Row],[Team Number]],CoreValuesResults[Team Number],CoreValuesResults[Core Values Rank],NumberOfTeams+1,0,))</f>
        <v>9</v>
      </c>
      <c r="M76" s="28">
        <f>IF(TournamentData[[#This Row],[Team Number]]="","",_xlfn.XLOOKUP(TournamentData[[#This Row],[Team Number]],InnovationProjectResults[Team Number],InnovationProjectResults[Innovation Project Rank],NumberOfTeams+1,0,))</f>
        <v>9</v>
      </c>
      <c r="N76" s="28">
        <f>IF(TournamentData[[#This Row],[Team Number]]="","",_xlfn.XLOOKUP(TournamentData[[#This Row],[Team Number]],RobotDesignResults[Team Number],RobotDesignResults[Engineering Design Rank],NumberOfTeams+1,0,))</f>
        <v>9</v>
      </c>
      <c r="O7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76" s="29">
        <f>IF(TournamentData[[#This Row],[Team Number]]="","",IF(O76,RANK(O76,O$3:O$202,1)-COUNTIF(O$3:O$202,0),NumberOfTeams+1))</f>
        <v>9</v>
      </c>
      <c r="Q76" s="30">
        <f>_xlfn.XLOOKUP(TournamentData[[#This Row],[Team Number]],CoreValuesResults[Team Number],CoreValuesResults[Inspiration Selection],0,0,)</f>
        <v>0</v>
      </c>
      <c r="R76" s="33">
        <f>_xlfn.XLOOKUP(TournamentData[[#This Row],[Team Number]],CoreValuesResults[Team Number],CoreValuesResults[Rising All-Star Selection],0,0,)</f>
        <v>0</v>
      </c>
      <c r="S7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76" s="31"/>
      <c r="U76" s="31"/>
      <c r="V76" s="32"/>
      <c r="W76" s="91">
        <f>_xlfn.XLOOKUP(TournamentData[[#This Row],[Team Number]],CoreValuesResults[Team Number],CoreValuesResults[Core Values Score],0,0,)</f>
        <v>0</v>
      </c>
      <c r="X76" s="91">
        <f>_xlfn.XLOOKUP(TournamentData[[#This Row],[Team Number]],InnovationProjectResults[Team Number],InnovationProjectResults[Innovation Project Score],0,0,)</f>
        <v>0</v>
      </c>
      <c r="Y76" s="91">
        <f>_xlfn.XLOOKUP(TournamentData[[#This Row],[Team Number]],RobotDesignResults[Team Number],RobotDesignResults[Engineering Design Score],0,0,)</f>
        <v>0</v>
      </c>
      <c r="Z7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76" s="93">
        <f t="shared" si="2"/>
        <v>8</v>
      </c>
      <c r="AB76" s="31"/>
    </row>
    <row r="77" spans="1:28" ht="21" customHeight="1" x14ac:dyDescent="0.25">
      <c r="A77">
        <f>_xlfn.XLOOKUP(75,OfficialTeamList[Row],OfficialTeamList[Team Number],"ERROR",0)</f>
        <v>0</v>
      </c>
      <c r="B77" s="27" t="str">
        <f>_xlfn.XLOOKUP(TournamentData[[#This Row],[Team Number]],OfficialTeamList[Team Number],OfficialTeamList[Team Name],"",0,)</f>
        <v/>
      </c>
      <c r="C77" s="28">
        <f>IF(TournamentData[[#This Row],[Team Number]]="","",_xlfn.XLOOKUP(TournamentData[[#This Row],[Team Number]],RobotGameScores[Team Number],RobotGameScores[Match 1 Score],0,0,))</f>
        <v>0</v>
      </c>
      <c r="D77" s="28">
        <f>IF(TournamentData[[#This Row],[Team Number]]="","",_xlfn.XLOOKUP(TournamentData[[#This Row],[Team Number]],RobotGameScores[Team Number],RobotGameScores[Match 2 Score],0,0,))</f>
        <v>0</v>
      </c>
      <c r="E77" s="28">
        <f>IF(TournamentData[[#This Row],[Team Number]]="","",_xlfn.XLOOKUP(TournamentData[[#This Row],[Team Number]],RobotGameScores[Team Number],RobotGameScores[Match 3 Score],0,0,))</f>
        <v>0</v>
      </c>
      <c r="F77" s="28">
        <f>IF(TournamentData[[#This Row],[Team Number]]="","",_xlfn.XLOOKUP(TournamentData[[#This Row],[Team Number]],RobotGameScores[Team Number],RobotGameScores[Match 4 Score],0,0,))</f>
        <v>0</v>
      </c>
      <c r="G77" s="28">
        <f>IF(TournamentData[[#This Row],[Team Number]]="","",_xlfn.XLOOKUP(TournamentData[[#This Row],[Team Number]],RobotGameScores[Team Number],RobotGameScores[Match 5 Score],0,0,))</f>
        <v>0</v>
      </c>
      <c r="H77" s="28" t="str">
        <f>IF(TournamentData[[#This Row],[Team Name]]="","",_xlfn.XLOOKUP(TournamentData[[#This Row],[Team Name]],RobotGameScores[Team Name],RobotGameScores[Match 6 Score],0,0,))</f>
        <v/>
      </c>
      <c r="I77" s="28">
        <v>0</v>
      </c>
      <c r="J77" s="28">
        <f>SUM(TournamentData[[#This Row],[Match Score 1]:[Match Score 6]])/NumberOfRounds</f>
        <v>0</v>
      </c>
      <c r="K77" s="59">
        <f>IF(TournamentData[[#This Row],[Team Number]]="","",1+COUNTIFS($J$3:$J$201,"&gt;"&amp;J77)+COUNTIFS($J$3:$J$201,J77,$I$3:$I$201,"&gt;"&amp;I77))</f>
        <v>9</v>
      </c>
      <c r="L77" s="28">
        <f>IF(TournamentData[[#This Row],[Team Number]]="","",_xlfn.XLOOKUP(TournamentData[[#This Row],[Team Number]],CoreValuesResults[Team Number],CoreValuesResults[Core Values Rank],NumberOfTeams+1,0,))</f>
        <v>9</v>
      </c>
      <c r="M77" s="28">
        <f>IF(TournamentData[[#This Row],[Team Number]]="","",_xlfn.XLOOKUP(TournamentData[[#This Row],[Team Number]],InnovationProjectResults[Team Number],InnovationProjectResults[Innovation Project Rank],NumberOfTeams+1,0,))</f>
        <v>9</v>
      </c>
      <c r="N77" s="28">
        <f>IF(TournamentData[[#This Row],[Team Number]]="","",_xlfn.XLOOKUP(TournamentData[[#This Row],[Team Number]],RobotDesignResults[Team Number],RobotDesignResults[Engineering Design Rank],NumberOfTeams+1,0,))</f>
        <v>9</v>
      </c>
      <c r="O7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77" s="29">
        <f>IF(TournamentData[[#This Row],[Team Number]]="","",IF(O77,RANK(O77,O$3:O$202,1)-COUNTIF(O$3:O$202,0),NumberOfTeams+1))</f>
        <v>9</v>
      </c>
      <c r="Q77" s="30">
        <f>_xlfn.XLOOKUP(TournamentData[[#This Row],[Team Number]],CoreValuesResults[Team Number],CoreValuesResults[Inspiration Selection],0,0,)</f>
        <v>0</v>
      </c>
      <c r="R77" s="33">
        <f>_xlfn.XLOOKUP(TournamentData[[#This Row],[Team Number]],CoreValuesResults[Team Number],CoreValuesResults[Rising All-Star Selection],0,0,)</f>
        <v>0</v>
      </c>
      <c r="S7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77" s="31"/>
      <c r="U77" s="31"/>
      <c r="V77" s="32"/>
      <c r="W77" s="91">
        <f>_xlfn.XLOOKUP(TournamentData[[#This Row],[Team Number]],CoreValuesResults[Team Number],CoreValuesResults[Core Values Score],0,0,)</f>
        <v>0</v>
      </c>
      <c r="X77" s="91">
        <f>_xlfn.XLOOKUP(TournamentData[[#This Row],[Team Number]],InnovationProjectResults[Team Number],InnovationProjectResults[Innovation Project Score],0,0,)</f>
        <v>0</v>
      </c>
      <c r="Y77" s="91">
        <f>_xlfn.XLOOKUP(TournamentData[[#This Row],[Team Number]],RobotDesignResults[Team Number],RobotDesignResults[Engineering Design Score],0,0,)</f>
        <v>0</v>
      </c>
      <c r="Z7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77" s="93">
        <f t="shared" si="2"/>
        <v>8</v>
      </c>
      <c r="AB77" s="31"/>
    </row>
    <row r="78" spans="1:28" ht="21" customHeight="1" x14ac:dyDescent="0.25">
      <c r="A78">
        <f>_xlfn.XLOOKUP(76,OfficialTeamList[Row],OfficialTeamList[Team Number],"ERROR",0)</f>
        <v>0</v>
      </c>
      <c r="B78" s="27" t="str">
        <f>_xlfn.XLOOKUP(TournamentData[[#This Row],[Team Number]],OfficialTeamList[Team Number],OfficialTeamList[Team Name],"",0,)</f>
        <v/>
      </c>
      <c r="C78" s="28">
        <f>IF(TournamentData[[#This Row],[Team Number]]="","",_xlfn.XLOOKUP(TournamentData[[#This Row],[Team Number]],RobotGameScores[Team Number],RobotGameScores[Match 1 Score],0,0,))</f>
        <v>0</v>
      </c>
      <c r="D78" s="28">
        <f>IF(TournamentData[[#This Row],[Team Number]]="","",_xlfn.XLOOKUP(TournamentData[[#This Row],[Team Number]],RobotGameScores[Team Number],RobotGameScores[Match 2 Score],0,0,))</f>
        <v>0</v>
      </c>
      <c r="E78" s="28">
        <f>IF(TournamentData[[#This Row],[Team Number]]="","",_xlfn.XLOOKUP(TournamentData[[#This Row],[Team Number]],RobotGameScores[Team Number],RobotGameScores[Match 3 Score],0,0,))</f>
        <v>0</v>
      </c>
      <c r="F78" s="28">
        <f>IF(TournamentData[[#This Row],[Team Number]]="","",_xlfn.XLOOKUP(TournamentData[[#This Row],[Team Number]],RobotGameScores[Team Number],RobotGameScores[Match 4 Score],0,0,))</f>
        <v>0</v>
      </c>
      <c r="G78" s="28">
        <f>IF(TournamentData[[#This Row],[Team Number]]="","",_xlfn.XLOOKUP(TournamentData[[#This Row],[Team Number]],RobotGameScores[Team Number],RobotGameScores[Match 5 Score],0,0,))</f>
        <v>0</v>
      </c>
      <c r="H78" s="28" t="str">
        <f>IF(TournamentData[[#This Row],[Team Name]]="","",_xlfn.XLOOKUP(TournamentData[[#This Row],[Team Name]],RobotGameScores[Team Name],RobotGameScores[Match 6 Score],0,0,))</f>
        <v/>
      </c>
      <c r="I78" s="28">
        <v>0</v>
      </c>
      <c r="J78" s="28">
        <f>SUM(TournamentData[[#This Row],[Match Score 1]:[Match Score 6]])/NumberOfRounds</f>
        <v>0</v>
      </c>
      <c r="K78" s="60">
        <f>IF(TournamentData[[#This Row],[Team Number]]="","",1+COUNTIFS($J$3:$J$201,"&gt;"&amp;J78)+COUNTIFS($J$3:$J$201,J78,$I$3:$I$201,"&gt;"&amp;I78))</f>
        <v>9</v>
      </c>
      <c r="L78" s="28">
        <f>IF(TournamentData[[#This Row],[Team Number]]="","",_xlfn.XLOOKUP(TournamentData[[#This Row],[Team Number]],CoreValuesResults[Team Number],CoreValuesResults[Core Values Rank],NumberOfTeams+1,0,))</f>
        <v>9</v>
      </c>
      <c r="M78" s="28">
        <f>IF(TournamentData[[#This Row],[Team Number]]="","",_xlfn.XLOOKUP(TournamentData[[#This Row],[Team Number]],InnovationProjectResults[Team Number],InnovationProjectResults[Innovation Project Rank],NumberOfTeams+1,0,))</f>
        <v>9</v>
      </c>
      <c r="N78" s="28">
        <f>IF(TournamentData[[#This Row],[Team Number]]="","",_xlfn.XLOOKUP(TournamentData[[#This Row],[Team Number]],RobotDesignResults[Team Number],RobotDesignResults[Engineering Design Rank],NumberOfTeams+1,0,))</f>
        <v>9</v>
      </c>
      <c r="O7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78" s="29">
        <f>IF(TournamentData[[#This Row],[Team Number]]="","",IF(O78,RANK(O78,O$3:O$202,1)-COUNTIF(O$3:O$202,0),NumberOfTeams+1))</f>
        <v>9</v>
      </c>
      <c r="Q78" s="30">
        <f>_xlfn.XLOOKUP(TournamentData[[#This Row],[Team Number]],CoreValuesResults[Team Number],CoreValuesResults[Inspiration Selection],0,0,)</f>
        <v>0</v>
      </c>
      <c r="R78" s="33">
        <f>_xlfn.XLOOKUP(TournamentData[[#This Row],[Team Number]],CoreValuesResults[Team Number],CoreValuesResults[Rising All-Star Selection],0,0,)</f>
        <v>0</v>
      </c>
      <c r="S7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78" s="31"/>
      <c r="U78" s="31"/>
      <c r="V78" s="32"/>
      <c r="W78" s="91">
        <f>_xlfn.XLOOKUP(TournamentData[[#This Row],[Team Number]],CoreValuesResults[Team Number],CoreValuesResults[Core Values Score],0,0,)</f>
        <v>0</v>
      </c>
      <c r="X78" s="91">
        <f>_xlfn.XLOOKUP(TournamentData[[#This Row],[Team Number]],InnovationProjectResults[Team Number],InnovationProjectResults[Innovation Project Score],0,0,)</f>
        <v>0</v>
      </c>
      <c r="Y78" s="91">
        <f>_xlfn.XLOOKUP(TournamentData[[#This Row],[Team Number]],RobotDesignResults[Team Number],RobotDesignResults[Engineering Design Score],0,0,)</f>
        <v>0</v>
      </c>
      <c r="Z7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78" s="93">
        <f t="shared" si="2"/>
        <v>8</v>
      </c>
      <c r="AB78" s="31"/>
    </row>
    <row r="79" spans="1:28" ht="21" customHeight="1" x14ac:dyDescent="0.25">
      <c r="A79">
        <f>_xlfn.XLOOKUP(77,OfficialTeamList[Row],OfficialTeamList[Team Number],"ERROR",0)</f>
        <v>0</v>
      </c>
      <c r="B79" s="27" t="str">
        <f>_xlfn.XLOOKUP(TournamentData[[#This Row],[Team Number]],OfficialTeamList[Team Number],OfficialTeamList[Team Name],"",0,)</f>
        <v/>
      </c>
      <c r="C79" s="28">
        <f>IF(TournamentData[[#This Row],[Team Number]]="","",_xlfn.XLOOKUP(TournamentData[[#This Row],[Team Number]],RobotGameScores[Team Number],RobotGameScores[Match 1 Score],0,0,))</f>
        <v>0</v>
      </c>
      <c r="D79" s="28">
        <f>IF(TournamentData[[#This Row],[Team Number]]="","",_xlfn.XLOOKUP(TournamentData[[#This Row],[Team Number]],RobotGameScores[Team Number],RobotGameScores[Match 2 Score],0,0,))</f>
        <v>0</v>
      </c>
      <c r="E79" s="28">
        <f>IF(TournamentData[[#This Row],[Team Number]]="","",_xlfn.XLOOKUP(TournamentData[[#This Row],[Team Number]],RobotGameScores[Team Number],RobotGameScores[Match 3 Score],0,0,))</f>
        <v>0</v>
      </c>
      <c r="F79" s="28">
        <f>IF(TournamentData[[#This Row],[Team Number]]="","",_xlfn.XLOOKUP(TournamentData[[#This Row],[Team Number]],RobotGameScores[Team Number],RobotGameScores[Match 4 Score],0,0,))</f>
        <v>0</v>
      </c>
      <c r="G79" s="28">
        <f>IF(TournamentData[[#This Row],[Team Number]]="","",_xlfn.XLOOKUP(TournamentData[[#This Row],[Team Number]],RobotGameScores[Team Number],RobotGameScores[Match 5 Score],0,0,))</f>
        <v>0</v>
      </c>
      <c r="H79" s="28" t="str">
        <f>IF(TournamentData[[#This Row],[Team Name]]="","",_xlfn.XLOOKUP(TournamentData[[#This Row],[Team Name]],RobotGameScores[Team Name],RobotGameScores[Match 6 Score],0,0,))</f>
        <v/>
      </c>
      <c r="I79" s="28">
        <v>0</v>
      </c>
      <c r="J79" s="28">
        <f>SUM(TournamentData[[#This Row],[Match Score 1]:[Match Score 6]])/NumberOfRounds</f>
        <v>0</v>
      </c>
      <c r="K79" s="59">
        <f>IF(TournamentData[[#This Row],[Team Number]]="","",1+COUNTIFS($J$3:$J$201,"&gt;"&amp;J79)+COUNTIFS($J$3:$J$201,J79,$I$3:$I$201,"&gt;"&amp;I79))</f>
        <v>9</v>
      </c>
      <c r="L79" s="28">
        <f>IF(TournamentData[[#This Row],[Team Number]]="","",_xlfn.XLOOKUP(TournamentData[[#This Row],[Team Number]],CoreValuesResults[Team Number],CoreValuesResults[Core Values Rank],NumberOfTeams+1,0,))</f>
        <v>9</v>
      </c>
      <c r="M79" s="28">
        <f>IF(TournamentData[[#This Row],[Team Number]]="","",_xlfn.XLOOKUP(TournamentData[[#This Row],[Team Number]],InnovationProjectResults[Team Number],InnovationProjectResults[Innovation Project Rank],NumberOfTeams+1,0,))</f>
        <v>9</v>
      </c>
      <c r="N79" s="28">
        <f>IF(TournamentData[[#This Row],[Team Number]]="","",_xlfn.XLOOKUP(TournamentData[[#This Row],[Team Number]],RobotDesignResults[Team Number],RobotDesignResults[Engineering Design Rank],NumberOfTeams+1,0,))</f>
        <v>9</v>
      </c>
      <c r="O7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79" s="29">
        <f>IF(TournamentData[[#This Row],[Team Number]]="","",IF(O79,RANK(O79,O$3:O$202,1)-COUNTIF(O$3:O$202,0),NumberOfTeams+1))</f>
        <v>9</v>
      </c>
      <c r="Q79" s="30">
        <f>_xlfn.XLOOKUP(TournamentData[[#This Row],[Team Number]],CoreValuesResults[Team Number],CoreValuesResults[Inspiration Selection],0,0,)</f>
        <v>0</v>
      </c>
      <c r="R79" s="33">
        <f>_xlfn.XLOOKUP(TournamentData[[#This Row],[Team Number]],CoreValuesResults[Team Number],CoreValuesResults[Rising All-Star Selection],0,0,)</f>
        <v>0</v>
      </c>
      <c r="S7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79" s="31"/>
      <c r="U79" s="31"/>
      <c r="V79" s="32"/>
      <c r="W79" s="91">
        <f>_xlfn.XLOOKUP(TournamentData[[#This Row],[Team Number]],CoreValuesResults[Team Number],CoreValuesResults[Core Values Score],0,0,)</f>
        <v>0</v>
      </c>
      <c r="X79" s="91">
        <f>_xlfn.XLOOKUP(TournamentData[[#This Row],[Team Number]],InnovationProjectResults[Team Number],InnovationProjectResults[Innovation Project Score],0,0,)</f>
        <v>0</v>
      </c>
      <c r="Y79" s="91">
        <f>_xlfn.XLOOKUP(TournamentData[[#This Row],[Team Number]],RobotDesignResults[Team Number],RobotDesignResults[Engineering Design Score],0,0,)</f>
        <v>0</v>
      </c>
      <c r="Z7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79" s="93">
        <f t="shared" si="2"/>
        <v>8</v>
      </c>
      <c r="AB79" s="31"/>
    </row>
    <row r="80" spans="1:28" ht="21" customHeight="1" x14ac:dyDescent="0.25">
      <c r="A80">
        <f>_xlfn.XLOOKUP(78,OfficialTeamList[Row],OfficialTeamList[Team Number],"ERROR",0)</f>
        <v>0</v>
      </c>
      <c r="B80" s="27" t="str">
        <f>_xlfn.XLOOKUP(TournamentData[[#This Row],[Team Number]],OfficialTeamList[Team Number],OfficialTeamList[Team Name],"",0,)</f>
        <v/>
      </c>
      <c r="C80" s="28">
        <f>IF(TournamentData[[#This Row],[Team Number]]="","",_xlfn.XLOOKUP(TournamentData[[#This Row],[Team Number]],RobotGameScores[Team Number],RobotGameScores[Match 1 Score],0,0,))</f>
        <v>0</v>
      </c>
      <c r="D80" s="28">
        <f>IF(TournamentData[[#This Row],[Team Number]]="","",_xlfn.XLOOKUP(TournamentData[[#This Row],[Team Number]],RobotGameScores[Team Number],RobotGameScores[Match 2 Score],0,0,))</f>
        <v>0</v>
      </c>
      <c r="E80" s="28">
        <f>IF(TournamentData[[#This Row],[Team Number]]="","",_xlfn.XLOOKUP(TournamentData[[#This Row],[Team Number]],RobotGameScores[Team Number],RobotGameScores[Match 3 Score],0,0,))</f>
        <v>0</v>
      </c>
      <c r="F80" s="28">
        <f>IF(TournamentData[[#This Row],[Team Number]]="","",_xlfn.XLOOKUP(TournamentData[[#This Row],[Team Number]],RobotGameScores[Team Number],RobotGameScores[Match 4 Score],0,0,))</f>
        <v>0</v>
      </c>
      <c r="G80" s="28">
        <f>IF(TournamentData[[#This Row],[Team Number]]="","",_xlfn.XLOOKUP(TournamentData[[#This Row],[Team Number]],RobotGameScores[Team Number],RobotGameScores[Match 5 Score],0,0,))</f>
        <v>0</v>
      </c>
      <c r="H80" s="28" t="str">
        <f>IF(TournamentData[[#This Row],[Team Name]]="","",_xlfn.XLOOKUP(TournamentData[[#This Row],[Team Name]],RobotGameScores[Team Name],RobotGameScores[Match 6 Score],0,0,))</f>
        <v/>
      </c>
      <c r="I80" s="28">
        <v>0</v>
      </c>
      <c r="J80" s="28">
        <f>SUM(TournamentData[[#This Row],[Match Score 1]:[Match Score 6]])/NumberOfRounds</f>
        <v>0</v>
      </c>
      <c r="K80" s="60">
        <f>IF(TournamentData[[#This Row],[Team Number]]="","",1+COUNTIFS($J$3:$J$201,"&gt;"&amp;J80)+COUNTIFS($J$3:$J$201,J80,$I$3:$I$201,"&gt;"&amp;I80))</f>
        <v>9</v>
      </c>
      <c r="L80" s="28">
        <f>IF(TournamentData[[#This Row],[Team Number]]="","",_xlfn.XLOOKUP(TournamentData[[#This Row],[Team Number]],CoreValuesResults[Team Number],CoreValuesResults[Core Values Rank],NumberOfTeams+1,0,))</f>
        <v>9</v>
      </c>
      <c r="M80" s="28">
        <f>IF(TournamentData[[#This Row],[Team Number]]="","",_xlfn.XLOOKUP(TournamentData[[#This Row],[Team Number]],InnovationProjectResults[Team Number],InnovationProjectResults[Innovation Project Rank],NumberOfTeams+1,0,))</f>
        <v>9</v>
      </c>
      <c r="N80" s="28">
        <f>IF(TournamentData[[#This Row],[Team Number]]="","",_xlfn.XLOOKUP(TournamentData[[#This Row],[Team Number]],RobotDesignResults[Team Number],RobotDesignResults[Engineering Design Rank],NumberOfTeams+1,0,))</f>
        <v>9</v>
      </c>
      <c r="O8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80" s="29">
        <f>IF(TournamentData[[#This Row],[Team Number]]="","",IF(O80,RANK(O80,O$3:O$202,1)-COUNTIF(O$3:O$202,0),NumberOfTeams+1))</f>
        <v>9</v>
      </c>
      <c r="Q80" s="30">
        <f>_xlfn.XLOOKUP(TournamentData[[#This Row],[Team Number]],CoreValuesResults[Team Number],CoreValuesResults[Inspiration Selection],0,0,)</f>
        <v>0</v>
      </c>
      <c r="R80" s="33">
        <f>_xlfn.XLOOKUP(TournamentData[[#This Row],[Team Number]],CoreValuesResults[Team Number],CoreValuesResults[Rising All-Star Selection],0,0,)</f>
        <v>0</v>
      </c>
      <c r="S8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80" s="31"/>
      <c r="U80" s="31"/>
      <c r="V80" s="32"/>
      <c r="W80" s="91">
        <f>_xlfn.XLOOKUP(TournamentData[[#This Row],[Team Number]],CoreValuesResults[Team Number],CoreValuesResults[Core Values Score],0,0,)</f>
        <v>0</v>
      </c>
      <c r="X80" s="91">
        <f>_xlfn.XLOOKUP(TournamentData[[#This Row],[Team Number]],InnovationProjectResults[Team Number],InnovationProjectResults[Innovation Project Score],0,0,)</f>
        <v>0</v>
      </c>
      <c r="Y80" s="91">
        <f>_xlfn.XLOOKUP(TournamentData[[#This Row],[Team Number]],RobotDesignResults[Team Number],RobotDesignResults[Engineering Design Score],0,0,)</f>
        <v>0</v>
      </c>
      <c r="Z8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80" s="93">
        <f t="shared" si="2"/>
        <v>8</v>
      </c>
      <c r="AB80" s="31"/>
    </row>
    <row r="81" spans="1:28" ht="21" customHeight="1" x14ac:dyDescent="0.25">
      <c r="A81">
        <f>_xlfn.XLOOKUP(79,OfficialTeamList[Row],OfficialTeamList[Team Number],"ERROR",0)</f>
        <v>0</v>
      </c>
      <c r="B81" s="27" t="str">
        <f>_xlfn.XLOOKUP(TournamentData[[#This Row],[Team Number]],OfficialTeamList[Team Number],OfficialTeamList[Team Name],"",0,)</f>
        <v/>
      </c>
      <c r="C81" s="28">
        <f>IF(TournamentData[[#This Row],[Team Number]]="","",_xlfn.XLOOKUP(TournamentData[[#This Row],[Team Number]],RobotGameScores[Team Number],RobotGameScores[Match 1 Score],0,0,))</f>
        <v>0</v>
      </c>
      <c r="D81" s="28">
        <f>IF(TournamentData[[#This Row],[Team Number]]="","",_xlfn.XLOOKUP(TournamentData[[#This Row],[Team Number]],RobotGameScores[Team Number],RobotGameScores[Match 2 Score],0,0,))</f>
        <v>0</v>
      </c>
      <c r="E81" s="28">
        <f>IF(TournamentData[[#This Row],[Team Number]]="","",_xlfn.XLOOKUP(TournamentData[[#This Row],[Team Number]],RobotGameScores[Team Number],RobotGameScores[Match 3 Score],0,0,))</f>
        <v>0</v>
      </c>
      <c r="F81" s="28">
        <f>IF(TournamentData[[#This Row],[Team Number]]="","",_xlfn.XLOOKUP(TournamentData[[#This Row],[Team Number]],RobotGameScores[Team Number],RobotGameScores[Match 4 Score],0,0,))</f>
        <v>0</v>
      </c>
      <c r="G81" s="28">
        <f>IF(TournamentData[[#This Row],[Team Number]]="","",_xlfn.XLOOKUP(TournamentData[[#This Row],[Team Number]],RobotGameScores[Team Number],RobotGameScores[Match 5 Score],0,0,))</f>
        <v>0</v>
      </c>
      <c r="H81" s="28" t="str">
        <f>IF(TournamentData[[#This Row],[Team Name]]="","",_xlfn.XLOOKUP(TournamentData[[#This Row],[Team Name]],RobotGameScores[Team Name],RobotGameScores[Match 6 Score],0,0,))</f>
        <v/>
      </c>
      <c r="I81" s="28">
        <v>0</v>
      </c>
      <c r="J81" s="28">
        <f>SUM(TournamentData[[#This Row],[Match Score 1]:[Match Score 6]])/NumberOfRounds</f>
        <v>0</v>
      </c>
      <c r="K81" s="59">
        <f>IF(TournamentData[[#This Row],[Team Number]]="","",1+COUNTIFS($J$3:$J$201,"&gt;"&amp;J81)+COUNTIFS($J$3:$J$201,J81,$I$3:$I$201,"&gt;"&amp;I81))</f>
        <v>9</v>
      </c>
      <c r="L81" s="28">
        <f>IF(TournamentData[[#This Row],[Team Number]]="","",_xlfn.XLOOKUP(TournamentData[[#This Row],[Team Number]],CoreValuesResults[Team Number],CoreValuesResults[Core Values Rank],NumberOfTeams+1,0,))</f>
        <v>9</v>
      </c>
      <c r="M81" s="28">
        <f>IF(TournamentData[[#This Row],[Team Number]]="","",_xlfn.XLOOKUP(TournamentData[[#This Row],[Team Number]],InnovationProjectResults[Team Number],InnovationProjectResults[Innovation Project Rank],NumberOfTeams+1,0,))</f>
        <v>9</v>
      </c>
      <c r="N81" s="28">
        <f>IF(TournamentData[[#This Row],[Team Number]]="","",_xlfn.XLOOKUP(TournamentData[[#This Row],[Team Number]],RobotDesignResults[Team Number],RobotDesignResults[Engineering Design Rank],NumberOfTeams+1,0,))</f>
        <v>9</v>
      </c>
      <c r="O8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81" s="29">
        <f>IF(TournamentData[[#This Row],[Team Number]]="","",IF(O81,RANK(O81,O$3:O$202,1)-COUNTIF(O$3:O$202,0),NumberOfTeams+1))</f>
        <v>9</v>
      </c>
      <c r="Q81" s="30">
        <f>_xlfn.XLOOKUP(TournamentData[[#This Row],[Team Number]],CoreValuesResults[Team Number],CoreValuesResults[Inspiration Selection],0,0,)</f>
        <v>0</v>
      </c>
      <c r="R81" s="33">
        <f>_xlfn.XLOOKUP(TournamentData[[#This Row],[Team Number]],CoreValuesResults[Team Number],CoreValuesResults[Rising All-Star Selection],0,0,)</f>
        <v>0</v>
      </c>
      <c r="S8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81" s="31"/>
      <c r="U81" s="31"/>
      <c r="V81" s="32"/>
      <c r="W81" s="91">
        <f>_xlfn.XLOOKUP(TournamentData[[#This Row],[Team Number]],CoreValuesResults[Team Number],CoreValuesResults[Core Values Score],0,0,)</f>
        <v>0</v>
      </c>
      <c r="X81" s="91">
        <f>_xlfn.XLOOKUP(TournamentData[[#This Row],[Team Number]],InnovationProjectResults[Team Number],InnovationProjectResults[Innovation Project Score],0,0,)</f>
        <v>0</v>
      </c>
      <c r="Y81" s="91">
        <f>_xlfn.XLOOKUP(TournamentData[[#This Row],[Team Number]],RobotDesignResults[Team Number],RobotDesignResults[Engineering Design Score],0,0,)</f>
        <v>0</v>
      </c>
      <c r="Z8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81" s="93">
        <f t="shared" si="2"/>
        <v>8</v>
      </c>
      <c r="AB81" s="31"/>
    </row>
    <row r="82" spans="1:28" ht="21" customHeight="1" x14ac:dyDescent="0.25">
      <c r="A82">
        <f>_xlfn.XLOOKUP(80,OfficialTeamList[Row],OfficialTeamList[Team Number],"ERROR",0)</f>
        <v>0</v>
      </c>
      <c r="B82" s="27" t="str">
        <f>_xlfn.XLOOKUP(TournamentData[[#This Row],[Team Number]],OfficialTeamList[Team Number],OfficialTeamList[Team Name],"",0,)</f>
        <v/>
      </c>
      <c r="C82" s="28">
        <f>IF(TournamentData[[#This Row],[Team Number]]="","",_xlfn.XLOOKUP(TournamentData[[#This Row],[Team Number]],RobotGameScores[Team Number],RobotGameScores[Match 1 Score],0,0,))</f>
        <v>0</v>
      </c>
      <c r="D82" s="28">
        <f>IF(TournamentData[[#This Row],[Team Number]]="","",_xlfn.XLOOKUP(TournamentData[[#This Row],[Team Number]],RobotGameScores[Team Number],RobotGameScores[Match 2 Score],0,0,))</f>
        <v>0</v>
      </c>
      <c r="E82" s="28">
        <f>IF(TournamentData[[#This Row],[Team Number]]="","",_xlfn.XLOOKUP(TournamentData[[#This Row],[Team Number]],RobotGameScores[Team Number],RobotGameScores[Match 3 Score],0,0,))</f>
        <v>0</v>
      </c>
      <c r="F82" s="28">
        <f>IF(TournamentData[[#This Row],[Team Number]]="","",_xlfn.XLOOKUP(TournamentData[[#This Row],[Team Number]],RobotGameScores[Team Number],RobotGameScores[Match 4 Score],0,0,))</f>
        <v>0</v>
      </c>
      <c r="G82" s="28">
        <f>IF(TournamentData[[#This Row],[Team Number]]="","",_xlfn.XLOOKUP(TournamentData[[#This Row],[Team Number]],RobotGameScores[Team Number],RobotGameScores[Match 5 Score],0,0,))</f>
        <v>0</v>
      </c>
      <c r="H82" s="28" t="str">
        <f>IF(TournamentData[[#This Row],[Team Name]]="","",_xlfn.XLOOKUP(TournamentData[[#This Row],[Team Name]],RobotGameScores[Team Name],RobotGameScores[Match 6 Score],0,0,))</f>
        <v/>
      </c>
      <c r="I82" s="28">
        <v>0</v>
      </c>
      <c r="J82" s="28">
        <f>SUM(TournamentData[[#This Row],[Match Score 1]:[Match Score 6]])/NumberOfRounds</f>
        <v>0</v>
      </c>
      <c r="K82" s="60">
        <f>IF(TournamentData[[#This Row],[Team Number]]="","",1+COUNTIFS($J$3:$J$201,"&gt;"&amp;J82)+COUNTIFS($J$3:$J$201,J82,$I$3:$I$201,"&gt;"&amp;I82))</f>
        <v>9</v>
      </c>
      <c r="L82" s="28">
        <f>IF(TournamentData[[#This Row],[Team Number]]="","",_xlfn.XLOOKUP(TournamentData[[#This Row],[Team Number]],CoreValuesResults[Team Number],CoreValuesResults[Core Values Rank],NumberOfTeams+1,0,))</f>
        <v>9</v>
      </c>
      <c r="M82" s="28">
        <f>IF(TournamentData[[#This Row],[Team Number]]="","",_xlfn.XLOOKUP(TournamentData[[#This Row],[Team Number]],InnovationProjectResults[Team Number],InnovationProjectResults[Innovation Project Rank],NumberOfTeams+1,0,))</f>
        <v>9</v>
      </c>
      <c r="N82" s="28">
        <f>IF(TournamentData[[#This Row],[Team Number]]="","",_xlfn.XLOOKUP(TournamentData[[#This Row],[Team Number]],RobotDesignResults[Team Number],RobotDesignResults[Engineering Design Rank],NumberOfTeams+1,0,))</f>
        <v>9</v>
      </c>
      <c r="O8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82" s="29">
        <f>IF(TournamentData[[#This Row],[Team Number]]="","",IF(O82,RANK(O82,O$3:O$202,1)-COUNTIF(O$3:O$202,0),NumberOfTeams+1))</f>
        <v>9</v>
      </c>
      <c r="Q82" s="30">
        <f>_xlfn.XLOOKUP(TournamentData[[#This Row],[Team Number]],CoreValuesResults[Team Number],CoreValuesResults[Inspiration Selection],0,0,)</f>
        <v>0</v>
      </c>
      <c r="R82" s="33">
        <f>_xlfn.XLOOKUP(TournamentData[[#This Row],[Team Number]],CoreValuesResults[Team Number],CoreValuesResults[Rising All-Star Selection],0,0,)</f>
        <v>0</v>
      </c>
      <c r="S8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82" s="31"/>
      <c r="U82" s="31"/>
      <c r="V82" s="32"/>
      <c r="W82" s="91">
        <f>_xlfn.XLOOKUP(TournamentData[[#This Row],[Team Number]],CoreValuesResults[Team Number],CoreValuesResults[Core Values Score],0,0,)</f>
        <v>0</v>
      </c>
      <c r="X82" s="91">
        <f>_xlfn.XLOOKUP(TournamentData[[#This Row],[Team Number]],InnovationProjectResults[Team Number],InnovationProjectResults[Innovation Project Score],0,0,)</f>
        <v>0</v>
      </c>
      <c r="Y82" s="91">
        <f>_xlfn.XLOOKUP(TournamentData[[#This Row],[Team Number]],RobotDesignResults[Team Number],RobotDesignResults[Engineering Design Score],0,0,)</f>
        <v>0</v>
      </c>
      <c r="Z8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82" s="93">
        <f t="shared" si="2"/>
        <v>8</v>
      </c>
      <c r="AB82" s="31"/>
    </row>
    <row r="83" spans="1:28" ht="21" customHeight="1" x14ac:dyDescent="0.25">
      <c r="A83">
        <f>_xlfn.XLOOKUP(81,OfficialTeamList[Row],OfficialTeamList[Team Number],"ERROR",0)</f>
        <v>0</v>
      </c>
      <c r="B83" s="27" t="str">
        <f>_xlfn.XLOOKUP(TournamentData[[#This Row],[Team Number]],OfficialTeamList[Team Number],OfficialTeamList[Team Name],"",0,)</f>
        <v/>
      </c>
      <c r="C83" s="28">
        <f>IF(TournamentData[[#This Row],[Team Number]]="","",_xlfn.XLOOKUP(TournamentData[[#This Row],[Team Number]],RobotGameScores[Team Number],RobotGameScores[Match 1 Score],0,0,))</f>
        <v>0</v>
      </c>
      <c r="D83" s="28">
        <f>IF(TournamentData[[#This Row],[Team Number]]="","",_xlfn.XLOOKUP(TournamentData[[#This Row],[Team Number]],RobotGameScores[Team Number],RobotGameScores[Match 2 Score],0,0,))</f>
        <v>0</v>
      </c>
      <c r="E83" s="28">
        <f>IF(TournamentData[[#This Row],[Team Number]]="","",_xlfn.XLOOKUP(TournamentData[[#This Row],[Team Number]],RobotGameScores[Team Number],RobotGameScores[Match 3 Score],0,0,))</f>
        <v>0</v>
      </c>
      <c r="F83" s="28">
        <f>IF(TournamentData[[#This Row],[Team Number]]="","",_xlfn.XLOOKUP(TournamentData[[#This Row],[Team Number]],RobotGameScores[Team Number],RobotGameScores[Match 4 Score],0,0,))</f>
        <v>0</v>
      </c>
      <c r="G83" s="28">
        <f>IF(TournamentData[[#This Row],[Team Number]]="","",_xlfn.XLOOKUP(TournamentData[[#This Row],[Team Number]],RobotGameScores[Team Number],RobotGameScores[Match 5 Score],0,0,))</f>
        <v>0</v>
      </c>
      <c r="H83" s="28" t="str">
        <f>IF(TournamentData[[#This Row],[Team Name]]="","",_xlfn.XLOOKUP(TournamentData[[#This Row],[Team Name]],RobotGameScores[Team Name],RobotGameScores[Match 6 Score],0,0,))</f>
        <v/>
      </c>
      <c r="I83" s="28">
        <v>0</v>
      </c>
      <c r="J83" s="28">
        <f>SUM(TournamentData[[#This Row],[Match Score 1]:[Match Score 6]])/NumberOfRounds</f>
        <v>0</v>
      </c>
      <c r="K83" s="59">
        <f>IF(TournamentData[[#This Row],[Team Number]]="","",1+COUNTIFS($J$3:$J$201,"&gt;"&amp;J83)+COUNTIFS($J$3:$J$201,J83,$I$3:$I$201,"&gt;"&amp;I83))</f>
        <v>9</v>
      </c>
      <c r="L83" s="28">
        <f>IF(TournamentData[[#This Row],[Team Number]]="","",_xlfn.XLOOKUP(TournamentData[[#This Row],[Team Number]],CoreValuesResults[Team Number],CoreValuesResults[Core Values Rank],NumberOfTeams+1,0,))</f>
        <v>9</v>
      </c>
      <c r="M83" s="28">
        <f>IF(TournamentData[[#This Row],[Team Number]]="","",_xlfn.XLOOKUP(TournamentData[[#This Row],[Team Number]],InnovationProjectResults[Team Number],InnovationProjectResults[Innovation Project Rank],NumberOfTeams+1,0,))</f>
        <v>9</v>
      </c>
      <c r="N83" s="28">
        <f>IF(TournamentData[[#This Row],[Team Number]]="","",_xlfn.XLOOKUP(TournamentData[[#This Row],[Team Number]],RobotDesignResults[Team Number],RobotDesignResults[Engineering Design Rank],NumberOfTeams+1,0,))</f>
        <v>9</v>
      </c>
      <c r="O8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83" s="29">
        <f>IF(TournamentData[[#This Row],[Team Number]]="","",IF(O83,RANK(O83,O$3:O$202,1)-COUNTIF(O$3:O$202,0),NumberOfTeams+1))</f>
        <v>9</v>
      </c>
      <c r="Q83" s="30">
        <f>_xlfn.XLOOKUP(TournamentData[[#This Row],[Team Number]],CoreValuesResults[Team Number],CoreValuesResults[Inspiration Selection],0,0,)</f>
        <v>0</v>
      </c>
      <c r="R83" s="33">
        <f>_xlfn.XLOOKUP(TournamentData[[#This Row],[Team Number]],CoreValuesResults[Team Number],CoreValuesResults[Rising All-Star Selection],0,0,)</f>
        <v>0</v>
      </c>
      <c r="S8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83" s="31"/>
      <c r="U83" s="31"/>
      <c r="V83" s="32"/>
      <c r="W83" s="91">
        <f>_xlfn.XLOOKUP(TournamentData[[#This Row],[Team Number]],CoreValuesResults[Team Number],CoreValuesResults[Core Values Score],0,0,)</f>
        <v>0</v>
      </c>
      <c r="X83" s="91">
        <f>_xlfn.XLOOKUP(TournamentData[[#This Row],[Team Number]],InnovationProjectResults[Team Number],InnovationProjectResults[Innovation Project Score],0,0,)</f>
        <v>0</v>
      </c>
      <c r="Y83" s="91">
        <f>_xlfn.XLOOKUP(TournamentData[[#This Row],[Team Number]],RobotDesignResults[Team Number],RobotDesignResults[Engineering Design Score],0,0,)</f>
        <v>0</v>
      </c>
      <c r="Z8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83" s="93">
        <f t="shared" si="2"/>
        <v>8</v>
      </c>
      <c r="AB83" s="31"/>
    </row>
    <row r="84" spans="1:28" ht="21" customHeight="1" x14ac:dyDescent="0.25">
      <c r="A84">
        <f>_xlfn.XLOOKUP(82,OfficialTeamList[Row],OfficialTeamList[Team Number],"ERROR",0)</f>
        <v>0</v>
      </c>
      <c r="B84" s="27" t="str">
        <f>_xlfn.XLOOKUP(TournamentData[[#This Row],[Team Number]],OfficialTeamList[Team Number],OfficialTeamList[Team Name],"",0,)</f>
        <v/>
      </c>
      <c r="C84" s="28">
        <f>IF(TournamentData[[#This Row],[Team Number]]="","",_xlfn.XLOOKUP(TournamentData[[#This Row],[Team Number]],RobotGameScores[Team Number],RobotGameScores[Match 1 Score],0,0,))</f>
        <v>0</v>
      </c>
      <c r="D84" s="28">
        <f>IF(TournamentData[[#This Row],[Team Number]]="","",_xlfn.XLOOKUP(TournamentData[[#This Row],[Team Number]],RobotGameScores[Team Number],RobotGameScores[Match 2 Score],0,0,))</f>
        <v>0</v>
      </c>
      <c r="E84" s="28">
        <f>IF(TournamentData[[#This Row],[Team Number]]="","",_xlfn.XLOOKUP(TournamentData[[#This Row],[Team Number]],RobotGameScores[Team Number],RobotGameScores[Match 3 Score],0,0,))</f>
        <v>0</v>
      </c>
      <c r="F84" s="28">
        <f>IF(TournamentData[[#This Row],[Team Number]]="","",_xlfn.XLOOKUP(TournamentData[[#This Row],[Team Number]],RobotGameScores[Team Number],RobotGameScores[Match 4 Score],0,0,))</f>
        <v>0</v>
      </c>
      <c r="G84" s="28">
        <f>IF(TournamentData[[#This Row],[Team Number]]="","",_xlfn.XLOOKUP(TournamentData[[#This Row],[Team Number]],RobotGameScores[Team Number],RobotGameScores[Match 5 Score],0,0,))</f>
        <v>0</v>
      </c>
      <c r="H84" s="28" t="str">
        <f>IF(TournamentData[[#This Row],[Team Name]]="","",_xlfn.XLOOKUP(TournamentData[[#This Row],[Team Name]],RobotGameScores[Team Name],RobotGameScores[Match 6 Score],0,0,))</f>
        <v/>
      </c>
      <c r="I84" s="28">
        <v>0</v>
      </c>
      <c r="J84" s="28">
        <f>SUM(TournamentData[[#This Row],[Match Score 1]:[Match Score 6]])/NumberOfRounds</f>
        <v>0</v>
      </c>
      <c r="K84" s="60">
        <f>IF(TournamentData[[#This Row],[Team Number]]="","",1+COUNTIFS($J$3:$J$201,"&gt;"&amp;J84)+COUNTIFS($J$3:$J$201,J84,$I$3:$I$201,"&gt;"&amp;I84))</f>
        <v>9</v>
      </c>
      <c r="L84" s="28">
        <f>IF(TournamentData[[#This Row],[Team Number]]="","",_xlfn.XLOOKUP(TournamentData[[#This Row],[Team Number]],CoreValuesResults[Team Number],CoreValuesResults[Core Values Rank],NumberOfTeams+1,0,))</f>
        <v>9</v>
      </c>
      <c r="M84" s="28">
        <f>IF(TournamentData[[#This Row],[Team Number]]="","",_xlfn.XLOOKUP(TournamentData[[#This Row],[Team Number]],InnovationProjectResults[Team Number],InnovationProjectResults[Innovation Project Rank],NumberOfTeams+1,0,))</f>
        <v>9</v>
      </c>
      <c r="N84" s="28">
        <f>IF(TournamentData[[#This Row],[Team Number]]="","",_xlfn.XLOOKUP(TournamentData[[#This Row],[Team Number]],RobotDesignResults[Team Number],RobotDesignResults[Engineering Design Rank],NumberOfTeams+1,0,))</f>
        <v>9</v>
      </c>
      <c r="O8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84" s="29">
        <f>IF(TournamentData[[#This Row],[Team Number]]="","",IF(O84,RANK(O84,O$3:O$202,1)-COUNTIF(O$3:O$202,0),NumberOfTeams+1))</f>
        <v>9</v>
      </c>
      <c r="Q84" s="30">
        <f>_xlfn.XLOOKUP(TournamentData[[#This Row],[Team Number]],CoreValuesResults[Team Number],CoreValuesResults[Inspiration Selection],0,0,)</f>
        <v>0</v>
      </c>
      <c r="R84" s="33">
        <f>_xlfn.XLOOKUP(TournamentData[[#This Row],[Team Number]],CoreValuesResults[Team Number],CoreValuesResults[Rising All-Star Selection],0,0,)</f>
        <v>0</v>
      </c>
      <c r="S8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84" s="31"/>
      <c r="U84" s="31"/>
      <c r="V84" s="32"/>
      <c r="W84" s="91">
        <f>_xlfn.XLOOKUP(TournamentData[[#This Row],[Team Number]],CoreValuesResults[Team Number],CoreValuesResults[Core Values Score],0,0,)</f>
        <v>0</v>
      </c>
      <c r="X84" s="91">
        <f>_xlfn.XLOOKUP(TournamentData[[#This Row],[Team Number]],InnovationProjectResults[Team Number],InnovationProjectResults[Innovation Project Score],0,0,)</f>
        <v>0</v>
      </c>
      <c r="Y84" s="91">
        <f>_xlfn.XLOOKUP(TournamentData[[#This Row],[Team Number]],RobotDesignResults[Team Number],RobotDesignResults[Engineering Design Score],0,0,)</f>
        <v>0</v>
      </c>
      <c r="Z8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84" s="93">
        <f t="shared" si="2"/>
        <v>8</v>
      </c>
      <c r="AB84" s="31"/>
    </row>
    <row r="85" spans="1:28" ht="21" customHeight="1" x14ac:dyDescent="0.25">
      <c r="A85">
        <f>_xlfn.XLOOKUP(83,OfficialTeamList[Row],OfficialTeamList[Team Number],"ERROR",0)</f>
        <v>0</v>
      </c>
      <c r="B85" s="27" t="str">
        <f>_xlfn.XLOOKUP(TournamentData[[#This Row],[Team Number]],OfficialTeamList[Team Number],OfficialTeamList[Team Name],"",0,)</f>
        <v/>
      </c>
      <c r="C85" s="28">
        <f>IF(TournamentData[[#This Row],[Team Number]]="","",_xlfn.XLOOKUP(TournamentData[[#This Row],[Team Number]],RobotGameScores[Team Number],RobotGameScores[Match 1 Score],0,0,))</f>
        <v>0</v>
      </c>
      <c r="D85" s="28">
        <f>IF(TournamentData[[#This Row],[Team Number]]="","",_xlfn.XLOOKUP(TournamentData[[#This Row],[Team Number]],RobotGameScores[Team Number],RobotGameScores[Match 2 Score],0,0,))</f>
        <v>0</v>
      </c>
      <c r="E85" s="28">
        <f>IF(TournamentData[[#This Row],[Team Number]]="","",_xlfn.XLOOKUP(TournamentData[[#This Row],[Team Number]],RobotGameScores[Team Number],RobotGameScores[Match 3 Score],0,0,))</f>
        <v>0</v>
      </c>
      <c r="F85" s="28">
        <f>IF(TournamentData[[#This Row],[Team Number]]="","",_xlfn.XLOOKUP(TournamentData[[#This Row],[Team Number]],RobotGameScores[Team Number],RobotGameScores[Match 4 Score],0,0,))</f>
        <v>0</v>
      </c>
      <c r="G85" s="28">
        <f>IF(TournamentData[[#This Row],[Team Number]]="","",_xlfn.XLOOKUP(TournamentData[[#This Row],[Team Number]],RobotGameScores[Team Number],RobotGameScores[Match 5 Score],0,0,))</f>
        <v>0</v>
      </c>
      <c r="H85" s="28" t="str">
        <f>IF(TournamentData[[#This Row],[Team Name]]="","",_xlfn.XLOOKUP(TournamentData[[#This Row],[Team Name]],RobotGameScores[Team Name],RobotGameScores[Match 6 Score],0,0,))</f>
        <v/>
      </c>
      <c r="I85" s="28">
        <v>0</v>
      </c>
      <c r="J85" s="28">
        <f>SUM(TournamentData[[#This Row],[Match Score 1]:[Match Score 6]])/NumberOfRounds</f>
        <v>0</v>
      </c>
      <c r="K85" s="59">
        <f>IF(TournamentData[[#This Row],[Team Number]]="","",1+COUNTIFS($J$3:$J$201,"&gt;"&amp;J85)+COUNTIFS($J$3:$J$201,J85,$I$3:$I$201,"&gt;"&amp;I85))</f>
        <v>9</v>
      </c>
      <c r="L85" s="28">
        <f>IF(TournamentData[[#This Row],[Team Number]]="","",_xlfn.XLOOKUP(TournamentData[[#This Row],[Team Number]],CoreValuesResults[Team Number],CoreValuesResults[Core Values Rank],NumberOfTeams+1,0,))</f>
        <v>9</v>
      </c>
      <c r="M85" s="28">
        <f>IF(TournamentData[[#This Row],[Team Number]]="","",_xlfn.XLOOKUP(TournamentData[[#This Row],[Team Number]],InnovationProjectResults[Team Number],InnovationProjectResults[Innovation Project Rank],NumberOfTeams+1,0,))</f>
        <v>9</v>
      </c>
      <c r="N85" s="28">
        <f>IF(TournamentData[[#This Row],[Team Number]]="","",_xlfn.XLOOKUP(TournamentData[[#This Row],[Team Number]],RobotDesignResults[Team Number],RobotDesignResults[Engineering Design Rank],NumberOfTeams+1,0,))</f>
        <v>9</v>
      </c>
      <c r="O8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85" s="29">
        <f>IF(TournamentData[[#This Row],[Team Number]]="","",IF(O85,RANK(O85,O$3:O$202,1)-COUNTIF(O$3:O$202,0),NumberOfTeams+1))</f>
        <v>9</v>
      </c>
      <c r="Q85" s="30">
        <f>_xlfn.XLOOKUP(TournamentData[[#This Row],[Team Number]],CoreValuesResults[Team Number],CoreValuesResults[Inspiration Selection],0,0,)</f>
        <v>0</v>
      </c>
      <c r="R85" s="33">
        <f>_xlfn.XLOOKUP(TournamentData[[#This Row],[Team Number]],CoreValuesResults[Team Number],CoreValuesResults[Rising All-Star Selection],0,0,)</f>
        <v>0</v>
      </c>
      <c r="S8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85" s="31"/>
      <c r="U85" s="31"/>
      <c r="V85" s="32"/>
      <c r="W85" s="91">
        <f>_xlfn.XLOOKUP(TournamentData[[#This Row],[Team Number]],CoreValuesResults[Team Number],CoreValuesResults[Core Values Score],0,0,)</f>
        <v>0</v>
      </c>
      <c r="X85" s="91">
        <f>_xlfn.XLOOKUP(TournamentData[[#This Row],[Team Number]],InnovationProjectResults[Team Number],InnovationProjectResults[Innovation Project Score],0,0,)</f>
        <v>0</v>
      </c>
      <c r="Y85" s="91">
        <f>_xlfn.XLOOKUP(TournamentData[[#This Row],[Team Number]],RobotDesignResults[Team Number],RobotDesignResults[Engineering Design Score],0,0,)</f>
        <v>0</v>
      </c>
      <c r="Z8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85" s="93">
        <f t="shared" si="2"/>
        <v>8</v>
      </c>
      <c r="AB85" s="31"/>
    </row>
    <row r="86" spans="1:28" ht="21" customHeight="1" x14ac:dyDescent="0.25">
      <c r="A86">
        <f>_xlfn.XLOOKUP(84,OfficialTeamList[Row],OfficialTeamList[Team Number],"ERROR",0)</f>
        <v>0</v>
      </c>
      <c r="B86" s="27" t="str">
        <f>_xlfn.XLOOKUP(TournamentData[[#This Row],[Team Number]],OfficialTeamList[Team Number],OfficialTeamList[Team Name],"",0,)</f>
        <v/>
      </c>
      <c r="C86" s="28">
        <f>IF(TournamentData[[#This Row],[Team Number]]="","",_xlfn.XLOOKUP(TournamentData[[#This Row],[Team Number]],RobotGameScores[Team Number],RobotGameScores[Match 1 Score],0,0,))</f>
        <v>0</v>
      </c>
      <c r="D86" s="28">
        <f>IF(TournamentData[[#This Row],[Team Number]]="","",_xlfn.XLOOKUP(TournamentData[[#This Row],[Team Number]],RobotGameScores[Team Number],RobotGameScores[Match 2 Score],0,0,))</f>
        <v>0</v>
      </c>
      <c r="E86" s="28">
        <f>IF(TournamentData[[#This Row],[Team Number]]="","",_xlfn.XLOOKUP(TournamentData[[#This Row],[Team Number]],RobotGameScores[Team Number],RobotGameScores[Match 3 Score],0,0,))</f>
        <v>0</v>
      </c>
      <c r="F86" s="28">
        <f>IF(TournamentData[[#This Row],[Team Number]]="","",_xlfn.XLOOKUP(TournamentData[[#This Row],[Team Number]],RobotGameScores[Team Number],RobotGameScores[Match 4 Score],0,0,))</f>
        <v>0</v>
      </c>
      <c r="G86" s="28">
        <f>IF(TournamentData[[#This Row],[Team Number]]="","",_xlfn.XLOOKUP(TournamentData[[#This Row],[Team Number]],RobotGameScores[Team Number],RobotGameScores[Match 5 Score],0,0,))</f>
        <v>0</v>
      </c>
      <c r="H86" s="28" t="str">
        <f>IF(TournamentData[[#This Row],[Team Name]]="","",_xlfn.XLOOKUP(TournamentData[[#This Row],[Team Name]],RobotGameScores[Team Name],RobotGameScores[Match 6 Score],0,0,))</f>
        <v/>
      </c>
      <c r="I86" s="28">
        <v>0</v>
      </c>
      <c r="J86" s="28">
        <f>SUM(TournamentData[[#This Row],[Match Score 1]:[Match Score 6]])/NumberOfRounds</f>
        <v>0</v>
      </c>
      <c r="K86" s="60">
        <f>IF(TournamentData[[#This Row],[Team Number]]="","",1+COUNTIFS($J$3:$J$201,"&gt;"&amp;J86)+COUNTIFS($J$3:$J$201,J86,$I$3:$I$201,"&gt;"&amp;I86))</f>
        <v>9</v>
      </c>
      <c r="L86" s="28">
        <f>IF(TournamentData[[#This Row],[Team Number]]="","",_xlfn.XLOOKUP(TournamentData[[#This Row],[Team Number]],CoreValuesResults[Team Number],CoreValuesResults[Core Values Rank],NumberOfTeams+1,0,))</f>
        <v>9</v>
      </c>
      <c r="M86" s="28">
        <f>IF(TournamentData[[#This Row],[Team Number]]="","",_xlfn.XLOOKUP(TournamentData[[#This Row],[Team Number]],InnovationProjectResults[Team Number],InnovationProjectResults[Innovation Project Rank],NumberOfTeams+1,0,))</f>
        <v>9</v>
      </c>
      <c r="N86" s="28">
        <f>IF(TournamentData[[#This Row],[Team Number]]="","",_xlfn.XLOOKUP(TournamentData[[#This Row],[Team Number]],RobotDesignResults[Team Number],RobotDesignResults[Engineering Design Rank],NumberOfTeams+1,0,))</f>
        <v>9</v>
      </c>
      <c r="O8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86" s="29">
        <f>IF(TournamentData[[#This Row],[Team Number]]="","",IF(O86,RANK(O86,O$3:O$202,1)-COUNTIF(O$3:O$202,0),NumberOfTeams+1))</f>
        <v>9</v>
      </c>
      <c r="Q86" s="30">
        <f>_xlfn.XLOOKUP(TournamentData[[#This Row],[Team Number]],CoreValuesResults[Team Number],CoreValuesResults[Inspiration Selection],0,0,)</f>
        <v>0</v>
      </c>
      <c r="R86" s="33">
        <f>_xlfn.XLOOKUP(TournamentData[[#This Row],[Team Number]],CoreValuesResults[Team Number],CoreValuesResults[Rising All-Star Selection],0,0,)</f>
        <v>0</v>
      </c>
      <c r="S8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86" s="31"/>
      <c r="U86" s="31"/>
      <c r="V86" s="32"/>
      <c r="W86" s="91">
        <f>_xlfn.XLOOKUP(TournamentData[[#This Row],[Team Number]],CoreValuesResults[Team Number],CoreValuesResults[Core Values Score],0,0,)</f>
        <v>0</v>
      </c>
      <c r="X86" s="91">
        <f>_xlfn.XLOOKUP(TournamentData[[#This Row],[Team Number]],InnovationProjectResults[Team Number],InnovationProjectResults[Innovation Project Score],0,0,)</f>
        <v>0</v>
      </c>
      <c r="Y86" s="91">
        <f>_xlfn.XLOOKUP(TournamentData[[#This Row],[Team Number]],RobotDesignResults[Team Number],RobotDesignResults[Engineering Design Score],0,0,)</f>
        <v>0</v>
      </c>
      <c r="Z8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86" s="93">
        <f t="shared" si="2"/>
        <v>8</v>
      </c>
      <c r="AB86" s="31"/>
    </row>
    <row r="87" spans="1:28" ht="21" customHeight="1" x14ac:dyDescent="0.25">
      <c r="A87">
        <f>_xlfn.XLOOKUP(85,OfficialTeamList[Row],OfficialTeamList[Team Number],"ERROR",0)</f>
        <v>0</v>
      </c>
      <c r="B87" s="27" t="str">
        <f>_xlfn.XLOOKUP(TournamentData[[#This Row],[Team Number]],OfficialTeamList[Team Number],OfficialTeamList[Team Name],"",0,)</f>
        <v/>
      </c>
      <c r="C87" s="28">
        <f>IF(TournamentData[[#This Row],[Team Number]]="","",_xlfn.XLOOKUP(TournamentData[[#This Row],[Team Number]],RobotGameScores[Team Number],RobotGameScores[Match 1 Score],0,0,))</f>
        <v>0</v>
      </c>
      <c r="D87" s="28">
        <f>IF(TournamentData[[#This Row],[Team Number]]="","",_xlfn.XLOOKUP(TournamentData[[#This Row],[Team Number]],RobotGameScores[Team Number],RobotGameScores[Match 2 Score],0,0,))</f>
        <v>0</v>
      </c>
      <c r="E87" s="28">
        <f>IF(TournamentData[[#This Row],[Team Number]]="","",_xlfn.XLOOKUP(TournamentData[[#This Row],[Team Number]],RobotGameScores[Team Number],RobotGameScores[Match 3 Score],0,0,))</f>
        <v>0</v>
      </c>
      <c r="F87" s="28">
        <f>IF(TournamentData[[#This Row],[Team Number]]="","",_xlfn.XLOOKUP(TournamentData[[#This Row],[Team Number]],RobotGameScores[Team Number],RobotGameScores[Match 4 Score],0,0,))</f>
        <v>0</v>
      </c>
      <c r="G87" s="28">
        <f>IF(TournamentData[[#This Row],[Team Number]]="","",_xlfn.XLOOKUP(TournamentData[[#This Row],[Team Number]],RobotGameScores[Team Number],RobotGameScores[Match 5 Score],0,0,))</f>
        <v>0</v>
      </c>
      <c r="H87" s="28" t="str">
        <f>IF(TournamentData[[#This Row],[Team Name]]="","",_xlfn.XLOOKUP(TournamentData[[#This Row],[Team Name]],RobotGameScores[Team Name],RobotGameScores[Match 6 Score],0,0,))</f>
        <v/>
      </c>
      <c r="I87" s="28">
        <v>0</v>
      </c>
      <c r="J87" s="28">
        <f>SUM(TournamentData[[#This Row],[Match Score 1]:[Match Score 6]])/NumberOfRounds</f>
        <v>0</v>
      </c>
      <c r="K87" s="59">
        <f>IF(TournamentData[[#This Row],[Team Number]]="","",1+COUNTIFS($J$3:$J$201,"&gt;"&amp;J87)+COUNTIFS($J$3:$J$201,J87,$I$3:$I$201,"&gt;"&amp;I87))</f>
        <v>9</v>
      </c>
      <c r="L87" s="28">
        <f>IF(TournamentData[[#This Row],[Team Number]]="","",_xlfn.XLOOKUP(TournamentData[[#This Row],[Team Number]],CoreValuesResults[Team Number],CoreValuesResults[Core Values Rank],NumberOfTeams+1,0,))</f>
        <v>9</v>
      </c>
      <c r="M87" s="28">
        <f>IF(TournamentData[[#This Row],[Team Number]]="","",_xlfn.XLOOKUP(TournamentData[[#This Row],[Team Number]],InnovationProjectResults[Team Number],InnovationProjectResults[Innovation Project Rank],NumberOfTeams+1,0,))</f>
        <v>9</v>
      </c>
      <c r="N87" s="28">
        <f>IF(TournamentData[[#This Row],[Team Number]]="","",_xlfn.XLOOKUP(TournamentData[[#This Row],[Team Number]],RobotDesignResults[Team Number],RobotDesignResults[Engineering Design Rank],NumberOfTeams+1,0,))</f>
        <v>9</v>
      </c>
      <c r="O8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87" s="29">
        <f>IF(TournamentData[[#This Row],[Team Number]]="","",IF(O87,RANK(O87,O$3:O$202,1)-COUNTIF(O$3:O$202,0),NumberOfTeams+1))</f>
        <v>9</v>
      </c>
      <c r="Q87" s="30">
        <f>_xlfn.XLOOKUP(TournamentData[[#This Row],[Team Number]],CoreValuesResults[Team Number],CoreValuesResults[Inspiration Selection],0,0,)</f>
        <v>0</v>
      </c>
      <c r="R87" s="33">
        <f>_xlfn.XLOOKUP(TournamentData[[#This Row],[Team Number]],CoreValuesResults[Team Number],CoreValuesResults[Rising All-Star Selection],0,0,)</f>
        <v>0</v>
      </c>
      <c r="S8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87" s="31"/>
      <c r="U87" s="31"/>
      <c r="V87" s="32"/>
      <c r="W87" s="91">
        <f>_xlfn.XLOOKUP(TournamentData[[#This Row],[Team Number]],CoreValuesResults[Team Number],CoreValuesResults[Core Values Score],0,0,)</f>
        <v>0</v>
      </c>
      <c r="X87" s="91">
        <f>_xlfn.XLOOKUP(TournamentData[[#This Row],[Team Number]],InnovationProjectResults[Team Number],InnovationProjectResults[Innovation Project Score],0,0,)</f>
        <v>0</v>
      </c>
      <c r="Y87" s="91">
        <f>_xlfn.XLOOKUP(TournamentData[[#This Row],[Team Number]],RobotDesignResults[Team Number],RobotDesignResults[Engineering Design Score],0,0,)</f>
        <v>0</v>
      </c>
      <c r="Z8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87" s="93">
        <f t="shared" si="2"/>
        <v>8</v>
      </c>
      <c r="AB87" s="31"/>
    </row>
    <row r="88" spans="1:28" ht="21" customHeight="1" x14ac:dyDescent="0.25">
      <c r="A88">
        <f>_xlfn.XLOOKUP(86,OfficialTeamList[Row],OfficialTeamList[Team Number],"ERROR",0)</f>
        <v>0</v>
      </c>
      <c r="B88" s="27" t="str">
        <f>_xlfn.XLOOKUP(TournamentData[[#This Row],[Team Number]],OfficialTeamList[Team Number],OfficialTeamList[Team Name],"",0,)</f>
        <v/>
      </c>
      <c r="C88" s="28">
        <f>IF(TournamentData[[#This Row],[Team Number]]="","",_xlfn.XLOOKUP(TournamentData[[#This Row],[Team Number]],RobotGameScores[Team Number],RobotGameScores[Match 1 Score],0,0,))</f>
        <v>0</v>
      </c>
      <c r="D88" s="28">
        <f>IF(TournamentData[[#This Row],[Team Number]]="","",_xlfn.XLOOKUP(TournamentData[[#This Row],[Team Number]],RobotGameScores[Team Number],RobotGameScores[Match 2 Score],0,0,))</f>
        <v>0</v>
      </c>
      <c r="E88" s="28">
        <f>IF(TournamentData[[#This Row],[Team Number]]="","",_xlfn.XLOOKUP(TournamentData[[#This Row],[Team Number]],RobotGameScores[Team Number],RobotGameScores[Match 3 Score],0,0,))</f>
        <v>0</v>
      </c>
      <c r="F88" s="28">
        <f>IF(TournamentData[[#This Row],[Team Number]]="","",_xlfn.XLOOKUP(TournamentData[[#This Row],[Team Number]],RobotGameScores[Team Number],RobotGameScores[Match 4 Score],0,0,))</f>
        <v>0</v>
      </c>
      <c r="G88" s="28">
        <f>IF(TournamentData[[#This Row],[Team Number]]="","",_xlfn.XLOOKUP(TournamentData[[#This Row],[Team Number]],RobotGameScores[Team Number],RobotGameScores[Match 5 Score],0,0,))</f>
        <v>0</v>
      </c>
      <c r="H88" s="28" t="str">
        <f>IF(TournamentData[[#This Row],[Team Name]]="","",_xlfn.XLOOKUP(TournamentData[[#This Row],[Team Name]],RobotGameScores[Team Name],RobotGameScores[Match 6 Score],0,0,))</f>
        <v/>
      </c>
      <c r="I88" s="28">
        <v>0</v>
      </c>
      <c r="J88" s="28">
        <f>SUM(TournamentData[[#This Row],[Match Score 1]:[Match Score 6]])/NumberOfRounds</f>
        <v>0</v>
      </c>
      <c r="K88" s="60">
        <f>IF(TournamentData[[#This Row],[Team Number]]="","",1+COUNTIFS($J$3:$J$201,"&gt;"&amp;J88)+COUNTIFS($J$3:$J$201,J88,$I$3:$I$201,"&gt;"&amp;I88))</f>
        <v>9</v>
      </c>
      <c r="L88" s="28">
        <f>IF(TournamentData[[#This Row],[Team Number]]="","",_xlfn.XLOOKUP(TournamentData[[#This Row],[Team Number]],CoreValuesResults[Team Number],CoreValuesResults[Core Values Rank],NumberOfTeams+1,0,))</f>
        <v>9</v>
      </c>
      <c r="M88" s="28">
        <f>IF(TournamentData[[#This Row],[Team Number]]="","",_xlfn.XLOOKUP(TournamentData[[#This Row],[Team Number]],InnovationProjectResults[Team Number],InnovationProjectResults[Innovation Project Rank],NumberOfTeams+1,0,))</f>
        <v>9</v>
      </c>
      <c r="N88" s="28">
        <f>IF(TournamentData[[#This Row],[Team Number]]="","",_xlfn.XLOOKUP(TournamentData[[#This Row],[Team Number]],RobotDesignResults[Team Number],RobotDesignResults[Engineering Design Rank],NumberOfTeams+1,0,))</f>
        <v>9</v>
      </c>
      <c r="O8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88" s="29">
        <f>IF(TournamentData[[#This Row],[Team Number]]="","",IF(O88,RANK(O88,O$3:O$202,1)-COUNTIF(O$3:O$202,0),NumberOfTeams+1))</f>
        <v>9</v>
      </c>
      <c r="Q88" s="30">
        <f>_xlfn.XLOOKUP(TournamentData[[#This Row],[Team Number]],CoreValuesResults[Team Number],CoreValuesResults[Inspiration Selection],0,0,)</f>
        <v>0</v>
      </c>
      <c r="R88" s="33">
        <f>_xlfn.XLOOKUP(TournamentData[[#This Row],[Team Number]],CoreValuesResults[Team Number],CoreValuesResults[Rising All-Star Selection],0,0,)</f>
        <v>0</v>
      </c>
      <c r="S8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88" s="31"/>
      <c r="U88" s="31"/>
      <c r="V88" s="32"/>
      <c r="W88" s="91">
        <f>_xlfn.XLOOKUP(TournamentData[[#This Row],[Team Number]],CoreValuesResults[Team Number],CoreValuesResults[Core Values Score],0,0,)</f>
        <v>0</v>
      </c>
      <c r="X88" s="91">
        <f>_xlfn.XLOOKUP(TournamentData[[#This Row],[Team Number]],InnovationProjectResults[Team Number],InnovationProjectResults[Innovation Project Score],0,0,)</f>
        <v>0</v>
      </c>
      <c r="Y88" s="91">
        <f>_xlfn.XLOOKUP(TournamentData[[#This Row],[Team Number]],RobotDesignResults[Team Number],RobotDesignResults[Engineering Design Score],0,0,)</f>
        <v>0</v>
      </c>
      <c r="Z8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88" s="93">
        <f t="shared" si="2"/>
        <v>8</v>
      </c>
      <c r="AB88" s="31"/>
    </row>
    <row r="89" spans="1:28" ht="21" customHeight="1" x14ac:dyDescent="0.25">
      <c r="A89">
        <f>_xlfn.XLOOKUP(87,OfficialTeamList[Row],OfficialTeamList[Team Number],"ERROR",0)</f>
        <v>0</v>
      </c>
      <c r="B89" s="27" t="str">
        <f>_xlfn.XLOOKUP(TournamentData[[#This Row],[Team Number]],OfficialTeamList[Team Number],OfficialTeamList[Team Name],"",0,)</f>
        <v/>
      </c>
      <c r="C89" s="28">
        <f>IF(TournamentData[[#This Row],[Team Number]]="","",_xlfn.XLOOKUP(TournamentData[[#This Row],[Team Number]],RobotGameScores[Team Number],RobotGameScores[Match 1 Score],0,0,))</f>
        <v>0</v>
      </c>
      <c r="D89" s="28">
        <f>IF(TournamentData[[#This Row],[Team Number]]="","",_xlfn.XLOOKUP(TournamentData[[#This Row],[Team Number]],RobotGameScores[Team Number],RobotGameScores[Match 2 Score],0,0,))</f>
        <v>0</v>
      </c>
      <c r="E89" s="28">
        <f>IF(TournamentData[[#This Row],[Team Number]]="","",_xlfn.XLOOKUP(TournamentData[[#This Row],[Team Number]],RobotGameScores[Team Number],RobotGameScores[Match 3 Score],0,0,))</f>
        <v>0</v>
      </c>
      <c r="F89" s="28">
        <f>IF(TournamentData[[#This Row],[Team Number]]="","",_xlfn.XLOOKUP(TournamentData[[#This Row],[Team Number]],RobotGameScores[Team Number],RobotGameScores[Match 4 Score],0,0,))</f>
        <v>0</v>
      </c>
      <c r="G89" s="28">
        <f>IF(TournamentData[[#This Row],[Team Number]]="","",_xlfn.XLOOKUP(TournamentData[[#This Row],[Team Number]],RobotGameScores[Team Number],RobotGameScores[Match 5 Score],0,0,))</f>
        <v>0</v>
      </c>
      <c r="H89" s="28" t="str">
        <f>IF(TournamentData[[#This Row],[Team Name]]="","",_xlfn.XLOOKUP(TournamentData[[#This Row],[Team Name]],RobotGameScores[Team Name],RobotGameScores[Match 6 Score],0,0,))</f>
        <v/>
      </c>
      <c r="I89" s="28">
        <v>0</v>
      </c>
      <c r="J89" s="28">
        <f>SUM(TournamentData[[#This Row],[Match Score 1]:[Match Score 6]])/NumberOfRounds</f>
        <v>0</v>
      </c>
      <c r="K89" s="59">
        <f>IF(TournamentData[[#This Row],[Team Number]]="","",1+COUNTIFS($J$3:$J$201,"&gt;"&amp;J89)+COUNTIFS($J$3:$J$201,J89,$I$3:$I$201,"&gt;"&amp;I89))</f>
        <v>9</v>
      </c>
      <c r="L89" s="28">
        <f>IF(TournamentData[[#This Row],[Team Number]]="","",_xlfn.XLOOKUP(TournamentData[[#This Row],[Team Number]],CoreValuesResults[Team Number],CoreValuesResults[Core Values Rank],NumberOfTeams+1,0,))</f>
        <v>9</v>
      </c>
      <c r="M89" s="28">
        <f>IF(TournamentData[[#This Row],[Team Number]]="","",_xlfn.XLOOKUP(TournamentData[[#This Row],[Team Number]],InnovationProjectResults[Team Number],InnovationProjectResults[Innovation Project Rank],NumberOfTeams+1,0,))</f>
        <v>9</v>
      </c>
      <c r="N89" s="28">
        <f>IF(TournamentData[[#This Row],[Team Number]]="","",_xlfn.XLOOKUP(TournamentData[[#This Row],[Team Number]],RobotDesignResults[Team Number],RobotDesignResults[Engineering Design Rank],NumberOfTeams+1,0,))</f>
        <v>9</v>
      </c>
      <c r="O8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89" s="29">
        <f>IF(TournamentData[[#This Row],[Team Number]]="","",IF(O89,RANK(O89,O$3:O$202,1)-COUNTIF(O$3:O$202,0),NumberOfTeams+1))</f>
        <v>9</v>
      </c>
      <c r="Q89" s="30">
        <f>_xlfn.XLOOKUP(TournamentData[[#This Row],[Team Number]],CoreValuesResults[Team Number],CoreValuesResults[Inspiration Selection],0,0,)</f>
        <v>0</v>
      </c>
      <c r="R89" s="33">
        <f>_xlfn.XLOOKUP(TournamentData[[#This Row],[Team Number]],CoreValuesResults[Team Number],CoreValuesResults[Rising All-Star Selection],0,0,)</f>
        <v>0</v>
      </c>
      <c r="S8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89" s="31"/>
      <c r="U89" s="31"/>
      <c r="V89" s="32"/>
      <c r="W89" s="91">
        <f>_xlfn.XLOOKUP(TournamentData[[#This Row],[Team Number]],CoreValuesResults[Team Number],CoreValuesResults[Core Values Score],0,0,)</f>
        <v>0</v>
      </c>
      <c r="X89" s="91">
        <f>_xlfn.XLOOKUP(TournamentData[[#This Row],[Team Number]],InnovationProjectResults[Team Number],InnovationProjectResults[Innovation Project Score],0,0,)</f>
        <v>0</v>
      </c>
      <c r="Y89" s="91">
        <f>_xlfn.XLOOKUP(TournamentData[[#This Row],[Team Number]],RobotDesignResults[Team Number],RobotDesignResults[Engineering Design Score],0,0,)</f>
        <v>0</v>
      </c>
      <c r="Z8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89" s="93">
        <f t="shared" si="2"/>
        <v>8</v>
      </c>
      <c r="AB89" s="31"/>
    </row>
    <row r="90" spans="1:28" ht="21" customHeight="1" x14ac:dyDescent="0.25">
      <c r="A90">
        <f>_xlfn.XLOOKUP(88,OfficialTeamList[Row],OfficialTeamList[Team Number],"ERROR",0)</f>
        <v>0</v>
      </c>
      <c r="B90" s="27" t="str">
        <f>_xlfn.XLOOKUP(TournamentData[[#This Row],[Team Number]],OfficialTeamList[Team Number],OfficialTeamList[Team Name],"",0,)</f>
        <v/>
      </c>
      <c r="C90" s="28">
        <f>IF(TournamentData[[#This Row],[Team Number]]="","",_xlfn.XLOOKUP(TournamentData[[#This Row],[Team Number]],RobotGameScores[Team Number],RobotGameScores[Match 1 Score],0,0,))</f>
        <v>0</v>
      </c>
      <c r="D90" s="28">
        <f>IF(TournamentData[[#This Row],[Team Number]]="","",_xlfn.XLOOKUP(TournamentData[[#This Row],[Team Number]],RobotGameScores[Team Number],RobotGameScores[Match 2 Score],0,0,))</f>
        <v>0</v>
      </c>
      <c r="E90" s="28">
        <f>IF(TournamentData[[#This Row],[Team Number]]="","",_xlfn.XLOOKUP(TournamentData[[#This Row],[Team Number]],RobotGameScores[Team Number],RobotGameScores[Match 3 Score],0,0,))</f>
        <v>0</v>
      </c>
      <c r="F90" s="28">
        <f>IF(TournamentData[[#This Row],[Team Number]]="","",_xlfn.XLOOKUP(TournamentData[[#This Row],[Team Number]],RobotGameScores[Team Number],RobotGameScores[Match 4 Score],0,0,))</f>
        <v>0</v>
      </c>
      <c r="G90" s="28">
        <f>IF(TournamentData[[#This Row],[Team Number]]="","",_xlfn.XLOOKUP(TournamentData[[#This Row],[Team Number]],RobotGameScores[Team Number],RobotGameScores[Match 5 Score],0,0,))</f>
        <v>0</v>
      </c>
      <c r="H90" s="28" t="str">
        <f>IF(TournamentData[[#This Row],[Team Name]]="","",_xlfn.XLOOKUP(TournamentData[[#This Row],[Team Name]],RobotGameScores[Team Name],RobotGameScores[Match 6 Score],0,0,))</f>
        <v/>
      </c>
      <c r="I90" s="28">
        <v>0</v>
      </c>
      <c r="J90" s="28">
        <f>SUM(TournamentData[[#This Row],[Match Score 1]:[Match Score 6]])/NumberOfRounds</f>
        <v>0</v>
      </c>
      <c r="K90" s="60">
        <f>IF(TournamentData[[#This Row],[Team Number]]="","",1+COUNTIFS($J$3:$J$201,"&gt;"&amp;J90)+COUNTIFS($J$3:$J$201,J90,$I$3:$I$201,"&gt;"&amp;I90))</f>
        <v>9</v>
      </c>
      <c r="L90" s="28">
        <f>IF(TournamentData[[#This Row],[Team Number]]="","",_xlfn.XLOOKUP(TournamentData[[#This Row],[Team Number]],CoreValuesResults[Team Number],CoreValuesResults[Core Values Rank],NumberOfTeams+1,0,))</f>
        <v>9</v>
      </c>
      <c r="M90" s="28">
        <f>IF(TournamentData[[#This Row],[Team Number]]="","",_xlfn.XLOOKUP(TournamentData[[#This Row],[Team Number]],InnovationProjectResults[Team Number],InnovationProjectResults[Innovation Project Rank],NumberOfTeams+1,0,))</f>
        <v>9</v>
      </c>
      <c r="N90" s="28">
        <f>IF(TournamentData[[#This Row],[Team Number]]="","",_xlfn.XLOOKUP(TournamentData[[#This Row],[Team Number]],RobotDesignResults[Team Number],RobotDesignResults[Engineering Design Rank],NumberOfTeams+1,0,))</f>
        <v>9</v>
      </c>
      <c r="O9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90" s="29">
        <f>IF(TournamentData[[#This Row],[Team Number]]="","",IF(O90,RANK(O90,O$3:O$202,1)-COUNTIF(O$3:O$202,0),NumberOfTeams+1))</f>
        <v>9</v>
      </c>
      <c r="Q90" s="30">
        <f>_xlfn.XLOOKUP(TournamentData[[#This Row],[Team Number]],CoreValuesResults[Team Number],CoreValuesResults[Inspiration Selection],0,0,)</f>
        <v>0</v>
      </c>
      <c r="R90" s="33">
        <f>_xlfn.XLOOKUP(TournamentData[[#This Row],[Team Number]],CoreValuesResults[Team Number],CoreValuesResults[Rising All-Star Selection],0,0,)</f>
        <v>0</v>
      </c>
      <c r="S9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90" s="31"/>
      <c r="U90" s="31"/>
      <c r="V90" s="32"/>
      <c r="W90" s="91">
        <f>_xlfn.XLOOKUP(TournamentData[[#This Row],[Team Number]],CoreValuesResults[Team Number],CoreValuesResults[Core Values Score],0,0,)</f>
        <v>0</v>
      </c>
      <c r="X90" s="91">
        <f>_xlfn.XLOOKUP(TournamentData[[#This Row],[Team Number]],InnovationProjectResults[Team Number],InnovationProjectResults[Innovation Project Score],0,0,)</f>
        <v>0</v>
      </c>
      <c r="Y90" s="91">
        <f>_xlfn.XLOOKUP(TournamentData[[#This Row],[Team Number]],RobotDesignResults[Team Number],RobotDesignResults[Engineering Design Score],0,0,)</f>
        <v>0</v>
      </c>
      <c r="Z9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90" s="93">
        <f t="shared" si="2"/>
        <v>8</v>
      </c>
      <c r="AB90" s="31"/>
    </row>
    <row r="91" spans="1:28" ht="21" customHeight="1" x14ac:dyDescent="0.25">
      <c r="A91">
        <f>_xlfn.XLOOKUP(89,OfficialTeamList[Row],OfficialTeamList[Team Number],"ERROR",0)</f>
        <v>0</v>
      </c>
      <c r="B91" s="27" t="str">
        <f>_xlfn.XLOOKUP(TournamentData[[#This Row],[Team Number]],OfficialTeamList[Team Number],OfficialTeamList[Team Name],"",0,)</f>
        <v/>
      </c>
      <c r="C91" s="28">
        <f>IF(TournamentData[[#This Row],[Team Number]]="","",_xlfn.XLOOKUP(TournamentData[[#This Row],[Team Number]],RobotGameScores[Team Number],RobotGameScores[Match 1 Score],0,0,))</f>
        <v>0</v>
      </c>
      <c r="D91" s="28">
        <f>IF(TournamentData[[#This Row],[Team Number]]="","",_xlfn.XLOOKUP(TournamentData[[#This Row],[Team Number]],RobotGameScores[Team Number],RobotGameScores[Match 2 Score],0,0,))</f>
        <v>0</v>
      </c>
      <c r="E91" s="28">
        <f>IF(TournamentData[[#This Row],[Team Number]]="","",_xlfn.XLOOKUP(TournamentData[[#This Row],[Team Number]],RobotGameScores[Team Number],RobotGameScores[Match 3 Score],0,0,))</f>
        <v>0</v>
      </c>
      <c r="F91" s="28">
        <f>IF(TournamentData[[#This Row],[Team Number]]="","",_xlfn.XLOOKUP(TournamentData[[#This Row],[Team Number]],RobotGameScores[Team Number],RobotGameScores[Match 4 Score],0,0,))</f>
        <v>0</v>
      </c>
      <c r="G91" s="28">
        <f>IF(TournamentData[[#This Row],[Team Number]]="","",_xlfn.XLOOKUP(TournamentData[[#This Row],[Team Number]],RobotGameScores[Team Number],RobotGameScores[Match 5 Score],0,0,))</f>
        <v>0</v>
      </c>
      <c r="H91" s="28" t="str">
        <f>IF(TournamentData[[#This Row],[Team Name]]="","",_xlfn.XLOOKUP(TournamentData[[#This Row],[Team Name]],RobotGameScores[Team Name],RobotGameScores[Match 6 Score],0,0,))</f>
        <v/>
      </c>
      <c r="I91" s="28">
        <v>0</v>
      </c>
      <c r="J91" s="28">
        <f>SUM(TournamentData[[#This Row],[Match Score 1]:[Match Score 6]])/NumberOfRounds</f>
        <v>0</v>
      </c>
      <c r="K91" s="59">
        <f>IF(TournamentData[[#This Row],[Team Number]]="","",1+COUNTIFS($J$3:$J$201,"&gt;"&amp;J91)+COUNTIFS($J$3:$J$201,J91,$I$3:$I$201,"&gt;"&amp;I91))</f>
        <v>9</v>
      </c>
      <c r="L91" s="28">
        <f>IF(TournamentData[[#This Row],[Team Number]]="","",_xlfn.XLOOKUP(TournamentData[[#This Row],[Team Number]],CoreValuesResults[Team Number],CoreValuesResults[Core Values Rank],NumberOfTeams+1,0,))</f>
        <v>9</v>
      </c>
      <c r="M91" s="28">
        <f>IF(TournamentData[[#This Row],[Team Number]]="","",_xlfn.XLOOKUP(TournamentData[[#This Row],[Team Number]],InnovationProjectResults[Team Number],InnovationProjectResults[Innovation Project Rank],NumberOfTeams+1,0,))</f>
        <v>9</v>
      </c>
      <c r="N91" s="28">
        <f>IF(TournamentData[[#This Row],[Team Number]]="","",_xlfn.XLOOKUP(TournamentData[[#This Row],[Team Number]],RobotDesignResults[Team Number],RobotDesignResults[Engineering Design Rank],NumberOfTeams+1,0,))</f>
        <v>9</v>
      </c>
      <c r="O9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91" s="29">
        <f>IF(TournamentData[[#This Row],[Team Number]]="","",IF(O91,RANK(O91,O$3:O$202,1)-COUNTIF(O$3:O$202,0),NumberOfTeams+1))</f>
        <v>9</v>
      </c>
      <c r="Q91" s="30">
        <f>_xlfn.XLOOKUP(TournamentData[[#This Row],[Team Number]],CoreValuesResults[Team Number],CoreValuesResults[Inspiration Selection],0,0,)</f>
        <v>0</v>
      </c>
      <c r="R91" s="33">
        <f>_xlfn.XLOOKUP(TournamentData[[#This Row],[Team Number]],CoreValuesResults[Team Number],CoreValuesResults[Rising All-Star Selection],0,0,)</f>
        <v>0</v>
      </c>
      <c r="S9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91" s="31"/>
      <c r="U91" s="31"/>
      <c r="V91" s="32"/>
      <c r="W91" s="91">
        <f>_xlfn.XLOOKUP(TournamentData[[#This Row],[Team Number]],CoreValuesResults[Team Number],CoreValuesResults[Core Values Score],0,0,)</f>
        <v>0</v>
      </c>
      <c r="X91" s="91">
        <f>_xlfn.XLOOKUP(TournamentData[[#This Row],[Team Number]],InnovationProjectResults[Team Number],InnovationProjectResults[Innovation Project Score],0,0,)</f>
        <v>0</v>
      </c>
      <c r="Y91" s="91">
        <f>_xlfn.XLOOKUP(TournamentData[[#This Row],[Team Number]],RobotDesignResults[Team Number],RobotDesignResults[Engineering Design Score],0,0,)</f>
        <v>0</v>
      </c>
      <c r="Z9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91" s="93">
        <f t="shared" si="2"/>
        <v>8</v>
      </c>
      <c r="AB91" s="31"/>
    </row>
    <row r="92" spans="1:28" ht="21" customHeight="1" x14ac:dyDescent="0.25">
      <c r="A92">
        <f>_xlfn.XLOOKUP(90,OfficialTeamList[Row],OfficialTeamList[Team Number],"ERROR",0)</f>
        <v>0</v>
      </c>
      <c r="B92" s="27" t="str">
        <f>_xlfn.XLOOKUP(TournamentData[[#This Row],[Team Number]],OfficialTeamList[Team Number],OfficialTeamList[Team Name],"",0,)</f>
        <v/>
      </c>
      <c r="C92" s="28">
        <f>IF(TournamentData[[#This Row],[Team Number]]="","",_xlfn.XLOOKUP(TournamentData[[#This Row],[Team Number]],RobotGameScores[Team Number],RobotGameScores[Match 1 Score],0,0,))</f>
        <v>0</v>
      </c>
      <c r="D92" s="28">
        <f>IF(TournamentData[[#This Row],[Team Number]]="","",_xlfn.XLOOKUP(TournamentData[[#This Row],[Team Number]],RobotGameScores[Team Number],RobotGameScores[Match 2 Score],0,0,))</f>
        <v>0</v>
      </c>
      <c r="E92" s="28">
        <f>IF(TournamentData[[#This Row],[Team Number]]="","",_xlfn.XLOOKUP(TournamentData[[#This Row],[Team Number]],RobotGameScores[Team Number],RobotGameScores[Match 3 Score],0,0,))</f>
        <v>0</v>
      </c>
      <c r="F92" s="28">
        <f>IF(TournamentData[[#This Row],[Team Number]]="","",_xlfn.XLOOKUP(TournamentData[[#This Row],[Team Number]],RobotGameScores[Team Number],RobotGameScores[Match 4 Score],0,0,))</f>
        <v>0</v>
      </c>
      <c r="G92" s="28">
        <f>IF(TournamentData[[#This Row],[Team Number]]="","",_xlfn.XLOOKUP(TournamentData[[#This Row],[Team Number]],RobotGameScores[Team Number],RobotGameScores[Match 5 Score],0,0,))</f>
        <v>0</v>
      </c>
      <c r="H92" s="28" t="str">
        <f>IF(TournamentData[[#This Row],[Team Name]]="","",_xlfn.XLOOKUP(TournamentData[[#This Row],[Team Name]],RobotGameScores[Team Name],RobotGameScores[Match 6 Score],0,0,))</f>
        <v/>
      </c>
      <c r="I92" s="28">
        <v>0</v>
      </c>
      <c r="J92" s="28">
        <f>SUM(TournamentData[[#This Row],[Match Score 1]:[Match Score 6]])/NumberOfRounds</f>
        <v>0</v>
      </c>
      <c r="K92" s="60">
        <f>IF(TournamentData[[#This Row],[Team Number]]="","",1+COUNTIFS($J$3:$J$201,"&gt;"&amp;J92)+COUNTIFS($J$3:$J$201,J92,$I$3:$I$201,"&gt;"&amp;I92))</f>
        <v>9</v>
      </c>
      <c r="L92" s="28">
        <f>IF(TournamentData[[#This Row],[Team Number]]="","",_xlfn.XLOOKUP(TournamentData[[#This Row],[Team Number]],CoreValuesResults[Team Number],CoreValuesResults[Core Values Rank],NumberOfTeams+1,0,))</f>
        <v>9</v>
      </c>
      <c r="M92" s="28">
        <f>IF(TournamentData[[#This Row],[Team Number]]="","",_xlfn.XLOOKUP(TournamentData[[#This Row],[Team Number]],InnovationProjectResults[Team Number],InnovationProjectResults[Innovation Project Rank],NumberOfTeams+1,0,))</f>
        <v>9</v>
      </c>
      <c r="N92" s="28">
        <f>IF(TournamentData[[#This Row],[Team Number]]="","",_xlfn.XLOOKUP(TournamentData[[#This Row],[Team Number]],RobotDesignResults[Team Number],RobotDesignResults[Engineering Design Rank],NumberOfTeams+1,0,))</f>
        <v>9</v>
      </c>
      <c r="O9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92" s="29">
        <f>IF(TournamentData[[#This Row],[Team Number]]="","",IF(O92,RANK(O92,O$3:O$202,1)-COUNTIF(O$3:O$202,0),NumberOfTeams+1))</f>
        <v>9</v>
      </c>
      <c r="Q92" s="30">
        <f>_xlfn.XLOOKUP(TournamentData[[#This Row],[Team Number]],CoreValuesResults[Team Number],CoreValuesResults[Inspiration Selection],0,0,)</f>
        <v>0</v>
      </c>
      <c r="R92" s="33">
        <f>_xlfn.XLOOKUP(TournamentData[[#This Row],[Team Number]],CoreValuesResults[Team Number],CoreValuesResults[Rising All-Star Selection],0,0,)</f>
        <v>0</v>
      </c>
      <c r="S9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92" s="31"/>
      <c r="U92" s="31"/>
      <c r="V92" s="32"/>
      <c r="W92" s="91">
        <f>_xlfn.XLOOKUP(TournamentData[[#This Row],[Team Number]],CoreValuesResults[Team Number],CoreValuesResults[Core Values Score],0,0,)</f>
        <v>0</v>
      </c>
      <c r="X92" s="91">
        <f>_xlfn.XLOOKUP(TournamentData[[#This Row],[Team Number]],InnovationProjectResults[Team Number],InnovationProjectResults[Innovation Project Score],0,0,)</f>
        <v>0</v>
      </c>
      <c r="Y92" s="91">
        <f>_xlfn.XLOOKUP(TournamentData[[#This Row],[Team Number]],RobotDesignResults[Team Number],RobotDesignResults[Engineering Design Score],0,0,)</f>
        <v>0</v>
      </c>
      <c r="Z9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92" s="93">
        <f t="shared" si="2"/>
        <v>8</v>
      </c>
      <c r="AB92" s="31"/>
    </row>
    <row r="93" spans="1:28" ht="21" customHeight="1" x14ac:dyDescent="0.25">
      <c r="A93">
        <f>_xlfn.XLOOKUP(91,OfficialTeamList[Row],OfficialTeamList[Team Number],"ERROR",0)</f>
        <v>0</v>
      </c>
      <c r="B93" s="27" t="str">
        <f>_xlfn.XLOOKUP(TournamentData[[#This Row],[Team Number]],OfficialTeamList[Team Number],OfficialTeamList[Team Name],"",0,)</f>
        <v/>
      </c>
      <c r="C93" s="28">
        <f>IF(TournamentData[[#This Row],[Team Number]]="","",_xlfn.XLOOKUP(TournamentData[[#This Row],[Team Number]],RobotGameScores[Team Number],RobotGameScores[Match 1 Score],0,0,))</f>
        <v>0</v>
      </c>
      <c r="D93" s="28">
        <f>IF(TournamentData[[#This Row],[Team Number]]="","",_xlfn.XLOOKUP(TournamentData[[#This Row],[Team Number]],RobotGameScores[Team Number],RobotGameScores[Match 2 Score],0,0,))</f>
        <v>0</v>
      </c>
      <c r="E93" s="28">
        <f>IF(TournamentData[[#This Row],[Team Number]]="","",_xlfn.XLOOKUP(TournamentData[[#This Row],[Team Number]],RobotGameScores[Team Number],RobotGameScores[Match 3 Score],0,0,))</f>
        <v>0</v>
      </c>
      <c r="F93" s="28">
        <f>IF(TournamentData[[#This Row],[Team Number]]="","",_xlfn.XLOOKUP(TournamentData[[#This Row],[Team Number]],RobotGameScores[Team Number],RobotGameScores[Match 4 Score],0,0,))</f>
        <v>0</v>
      </c>
      <c r="G93" s="28">
        <f>IF(TournamentData[[#This Row],[Team Number]]="","",_xlfn.XLOOKUP(TournamentData[[#This Row],[Team Number]],RobotGameScores[Team Number],RobotGameScores[Match 5 Score],0,0,))</f>
        <v>0</v>
      </c>
      <c r="H93" s="28" t="str">
        <f>IF(TournamentData[[#This Row],[Team Name]]="","",_xlfn.XLOOKUP(TournamentData[[#This Row],[Team Name]],RobotGameScores[Team Name],RobotGameScores[Match 6 Score],0,0,))</f>
        <v/>
      </c>
      <c r="I93" s="28">
        <v>0</v>
      </c>
      <c r="J93" s="28">
        <f>SUM(TournamentData[[#This Row],[Match Score 1]:[Match Score 6]])/NumberOfRounds</f>
        <v>0</v>
      </c>
      <c r="K93" s="59">
        <f>IF(TournamentData[[#This Row],[Team Number]]="","",1+COUNTIFS($J$3:$J$201,"&gt;"&amp;J93)+COUNTIFS($J$3:$J$201,J93,$I$3:$I$201,"&gt;"&amp;I93))</f>
        <v>9</v>
      </c>
      <c r="L93" s="28">
        <f>IF(TournamentData[[#This Row],[Team Number]]="","",_xlfn.XLOOKUP(TournamentData[[#This Row],[Team Number]],CoreValuesResults[Team Number],CoreValuesResults[Core Values Rank],NumberOfTeams+1,0,))</f>
        <v>9</v>
      </c>
      <c r="M93" s="28">
        <f>IF(TournamentData[[#This Row],[Team Number]]="","",_xlfn.XLOOKUP(TournamentData[[#This Row],[Team Number]],InnovationProjectResults[Team Number],InnovationProjectResults[Innovation Project Rank],NumberOfTeams+1,0,))</f>
        <v>9</v>
      </c>
      <c r="N93" s="28">
        <f>IF(TournamentData[[#This Row],[Team Number]]="","",_xlfn.XLOOKUP(TournamentData[[#This Row],[Team Number]],RobotDesignResults[Team Number],RobotDesignResults[Engineering Design Rank],NumberOfTeams+1,0,))</f>
        <v>9</v>
      </c>
      <c r="O9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93" s="29">
        <f>IF(TournamentData[[#This Row],[Team Number]]="","",IF(O93,RANK(O93,O$3:O$202,1)-COUNTIF(O$3:O$202,0),NumberOfTeams+1))</f>
        <v>9</v>
      </c>
      <c r="Q93" s="30">
        <f>_xlfn.XLOOKUP(TournamentData[[#This Row],[Team Number]],CoreValuesResults[Team Number],CoreValuesResults[Inspiration Selection],0,0,)</f>
        <v>0</v>
      </c>
      <c r="R93" s="33">
        <f>_xlfn.XLOOKUP(TournamentData[[#This Row],[Team Number]],CoreValuesResults[Team Number],CoreValuesResults[Rising All-Star Selection],0,0,)</f>
        <v>0</v>
      </c>
      <c r="S9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93" s="31"/>
      <c r="U93" s="31"/>
      <c r="V93" s="32"/>
      <c r="W93" s="91">
        <f>_xlfn.XLOOKUP(TournamentData[[#This Row],[Team Number]],CoreValuesResults[Team Number],CoreValuesResults[Core Values Score],0,0,)</f>
        <v>0</v>
      </c>
      <c r="X93" s="91">
        <f>_xlfn.XLOOKUP(TournamentData[[#This Row],[Team Number]],InnovationProjectResults[Team Number],InnovationProjectResults[Innovation Project Score],0,0,)</f>
        <v>0</v>
      </c>
      <c r="Y93" s="91">
        <f>_xlfn.XLOOKUP(TournamentData[[#This Row],[Team Number]],RobotDesignResults[Team Number],RobotDesignResults[Engineering Design Score],0,0,)</f>
        <v>0</v>
      </c>
      <c r="Z9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93" s="93">
        <f t="shared" si="2"/>
        <v>8</v>
      </c>
      <c r="AB93" s="31"/>
    </row>
    <row r="94" spans="1:28" ht="21" customHeight="1" x14ac:dyDescent="0.25">
      <c r="A94">
        <f>_xlfn.XLOOKUP(92,OfficialTeamList[Row],OfficialTeamList[Team Number],"ERROR",0)</f>
        <v>0</v>
      </c>
      <c r="B94" s="27" t="str">
        <f>_xlfn.XLOOKUP(TournamentData[[#This Row],[Team Number]],OfficialTeamList[Team Number],OfficialTeamList[Team Name],"",0,)</f>
        <v/>
      </c>
      <c r="C94" s="28">
        <f>IF(TournamentData[[#This Row],[Team Number]]="","",_xlfn.XLOOKUP(TournamentData[[#This Row],[Team Number]],RobotGameScores[Team Number],RobotGameScores[Match 1 Score],0,0,))</f>
        <v>0</v>
      </c>
      <c r="D94" s="28">
        <f>IF(TournamentData[[#This Row],[Team Number]]="","",_xlfn.XLOOKUP(TournamentData[[#This Row],[Team Number]],RobotGameScores[Team Number],RobotGameScores[Match 2 Score],0,0,))</f>
        <v>0</v>
      </c>
      <c r="E94" s="28">
        <f>IF(TournamentData[[#This Row],[Team Number]]="","",_xlfn.XLOOKUP(TournamentData[[#This Row],[Team Number]],RobotGameScores[Team Number],RobotGameScores[Match 3 Score],0,0,))</f>
        <v>0</v>
      </c>
      <c r="F94" s="28">
        <f>IF(TournamentData[[#This Row],[Team Number]]="","",_xlfn.XLOOKUP(TournamentData[[#This Row],[Team Number]],RobotGameScores[Team Number],RobotGameScores[Match 4 Score],0,0,))</f>
        <v>0</v>
      </c>
      <c r="G94" s="28">
        <f>IF(TournamentData[[#This Row],[Team Number]]="","",_xlfn.XLOOKUP(TournamentData[[#This Row],[Team Number]],RobotGameScores[Team Number],RobotGameScores[Match 5 Score],0,0,))</f>
        <v>0</v>
      </c>
      <c r="H94" s="28" t="str">
        <f>IF(TournamentData[[#This Row],[Team Name]]="","",_xlfn.XLOOKUP(TournamentData[[#This Row],[Team Name]],RobotGameScores[Team Name],RobotGameScores[Match 6 Score],0,0,))</f>
        <v/>
      </c>
      <c r="I94" s="28">
        <v>0</v>
      </c>
      <c r="J94" s="28">
        <f>SUM(TournamentData[[#This Row],[Match Score 1]:[Match Score 6]])/NumberOfRounds</f>
        <v>0</v>
      </c>
      <c r="K94" s="60">
        <f>IF(TournamentData[[#This Row],[Team Number]]="","",1+COUNTIFS($J$3:$J$201,"&gt;"&amp;J94)+COUNTIFS($J$3:$J$201,J94,$I$3:$I$201,"&gt;"&amp;I94))</f>
        <v>9</v>
      </c>
      <c r="L94" s="28">
        <f>IF(TournamentData[[#This Row],[Team Number]]="","",_xlfn.XLOOKUP(TournamentData[[#This Row],[Team Number]],CoreValuesResults[Team Number],CoreValuesResults[Core Values Rank],NumberOfTeams+1,0,))</f>
        <v>9</v>
      </c>
      <c r="M94" s="28">
        <f>IF(TournamentData[[#This Row],[Team Number]]="","",_xlfn.XLOOKUP(TournamentData[[#This Row],[Team Number]],InnovationProjectResults[Team Number],InnovationProjectResults[Innovation Project Rank],NumberOfTeams+1,0,))</f>
        <v>9</v>
      </c>
      <c r="N94" s="28">
        <f>IF(TournamentData[[#This Row],[Team Number]]="","",_xlfn.XLOOKUP(TournamentData[[#This Row],[Team Number]],RobotDesignResults[Team Number],RobotDesignResults[Engineering Design Rank],NumberOfTeams+1,0,))</f>
        <v>9</v>
      </c>
      <c r="O9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94" s="29">
        <f>IF(TournamentData[[#This Row],[Team Number]]="","",IF(O94,RANK(O94,O$3:O$202,1)-COUNTIF(O$3:O$202,0),NumberOfTeams+1))</f>
        <v>9</v>
      </c>
      <c r="Q94" s="30">
        <f>_xlfn.XLOOKUP(TournamentData[[#This Row],[Team Number]],CoreValuesResults[Team Number],CoreValuesResults[Inspiration Selection],0,0,)</f>
        <v>0</v>
      </c>
      <c r="R94" s="33">
        <f>_xlfn.XLOOKUP(TournamentData[[#This Row],[Team Number]],CoreValuesResults[Team Number],CoreValuesResults[Rising All-Star Selection],0,0,)</f>
        <v>0</v>
      </c>
      <c r="S9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94" s="31"/>
      <c r="U94" s="31"/>
      <c r="V94" s="32"/>
      <c r="W94" s="91">
        <f>_xlfn.XLOOKUP(TournamentData[[#This Row],[Team Number]],CoreValuesResults[Team Number],CoreValuesResults[Core Values Score],0,0,)</f>
        <v>0</v>
      </c>
      <c r="X94" s="91">
        <f>_xlfn.XLOOKUP(TournamentData[[#This Row],[Team Number]],InnovationProjectResults[Team Number],InnovationProjectResults[Innovation Project Score],0,0,)</f>
        <v>0</v>
      </c>
      <c r="Y94" s="91">
        <f>_xlfn.XLOOKUP(TournamentData[[#This Row],[Team Number]],RobotDesignResults[Team Number],RobotDesignResults[Engineering Design Score],0,0,)</f>
        <v>0</v>
      </c>
      <c r="Z9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94" s="93">
        <f t="shared" si="2"/>
        <v>8</v>
      </c>
      <c r="AB94" s="31"/>
    </row>
    <row r="95" spans="1:28" ht="21" customHeight="1" x14ac:dyDescent="0.25">
      <c r="A95">
        <f>_xlfn.XLOOKUP(93,OfficialTeamList[Row],OfficialTeamList[Team Number],"ERROR",0)</f>
        <v>0</v>
      </c>
      <c r="B95" s="27" t="str">
        <f>_xlfn.XLOOKUP(TournamentData[[#This Row],[Team Number]],OfficialTeamList[Team Number],OfficialTeamList[Team Name],"",0,)</f>
        <v/>
      </c>
      <c r="C95" s="28">
        <f>IF(TournamentData[[#This Row],[Team Number]]="","",_xlfn.XLOOKUP(TournamentData[[#This Row],[Team Number]],RobotGameScores[Team Number],RobotGameScores[Match 1 Score],0,0,))</f>
        <v>0</v>
      </c>
      <c r="D95" s="28">
        <f>IF(TournamentData[[#This Row],[Team Number]]="","",_xlfn.XLOOKUP(TournamentData[[#This Row],[Team Number]],RobotGameScores[Team Number],RobotGameScores[Match 2 Score],0,0,))</f>
        <v>0</v>
      </c>
      <c r="E95" s="28">
        <f>IF(TournamentData[[#This Row],[Team Number]]="","",_xlfn.XLOOKUP(TournamentData[[#This Row],[Team Number]],RobotGameScores[Team Number],RobotGameScores[Match 3 Score],0,0,))</f>
        <v>0</v>
      </c>
      <c r="F95" s="28">
        <f>IF(TournamentData[[#This Row],[Team Number]]="","",_xlfn.XLOOKUP(TournamentData[[#This Row],[Team Number]],RobotGameScores[Team Number],RobotGameScores[Match 4 Score],0,0,))</f>
        <v>0</v>
      </c>
      <c r="G95" s="28">
        <f>IF(TournamentData[[#This Row],[Team Number]]="","",_xlfn.XLOOKUP(TournamentData[[#This Row],[Team Number]],RobotGameScores[Team Number],RobotGameScores[Match 5 Score],0,0,))</f>
        <v>0</v>
      </c>
      <c r="H95" s="28" t="str">
        <f>IF(TournamentData[[#This Row],[Team Name]]="","",_xlfn.XLOOKUP(TournamentData[[#This Row],[Team Name]],RobotGameScores[Team Name],RobotGameScores[Match 6 Score],0,0,))</f>
        <v/>
      </c>
      <c r="I95" s="28">
        <v>0</v>
      </c>
      <c r="J95" s="28">
        <f>SUM(TournamentData[[#This Row],[Match Score 1]:[Match Score 6]])/NumberOfRounds</f>
        <v>0</v>
      </c>
      <c r="K95" s="59">
        <f>IF(TournamentData[[#This Row],[Team Number]]="","",1+COUNTIFS($J$3:$J$201,"&gt;"&amp;J95)+COUNTIFS($J$3:$J$201,J95,$I$3:$I$201,"&gt;"&amp;I95))</f>
        <v>9</v>
      </c>
      <c r="L95" s="28">
        <f>IF(TournamentData[[#This Row],[Team Number]]="","",_xlfn.XLOOKUP(TournamentData[[#This Row],[Team Number]],CoreValuesResults[Team Number],CoreValuesResults[Core Values Rank],NumberOfTeams+1,0,))</f>
        <v>9</v>
      </c>
      <c r="M95" s="28">
        <f>IF(TournamentData[[#This Row],[Team Number]]="","",_xlfn.XLOOKUP(TournamentData[[#This Row],[Team Number]],InnovationProjectResults[Team Number],InnovationProjectResults[Innovation Project Rank],NumberOfTeams+1,0,))</f>
        <v>9</v>
      </c>
      <c r="N95" s="28">
        <f>IF(TournamentData[[#This Row],[Team Number]]="","",_xlfn.XLOOKUP(TournamentData[[#This Row],[Team Number]],RobotDesignResults[Team Number],RobotDesignResults[Engineering Design Rank],NumberOfTeams+1,0,))</f>
        <v>9</v>
      </c>
      <c r="O9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95" s="29">
        <f>IF(TournamentData[[#This Row],[Team Number]]="","",IF(O95,RANK(O95,O$3:O$202,1)-COUNTIF(O$3:O$202,0),NumberOfTeams+1))</f>
        <v>9</v>
      </c>
      <c r="Q95" s="30">
        <f>_xlfn.XLOOKUP(TournamentData[[#This Row],[Team Number]],CoreValuesResults[Team Number],CoreValuesResults[Inspiration Selection],0,0,)</f>
        <v>0</v>
      </c>
      <c r="R95" s="33">
        <f>_xlfn.XLOOKUP(TournamentData[[#This Row],[Team Number]],CoreValuesResults[Team Number],CoreValuesResults[Rising All-Star Selection],0,0,)</f>
        <v>0</v>
      </c>
      <c r="S9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95" s="31"/>
      <c r="U95" s="31"/>
      <c r="V95" s="32"/>
      <c r="W95" s="91">
        <f>_xlfn.XLOOKUP(TournamentData[[#This Row],[Team Number]],CoreValuesResults[Team Number],CoreValuesResults[Core Values Score],0,0,)</f>
        <v>0</v>
      </c>
      <c r="X95" s="91">
        <f>_xlfn.XLOOKUP(TournamentData[[#This Row],[Team Number]],InnovationProjectResults[Team Number],InnovationProjectResults[Innovation Project Score],0,0,)</f>
        <v>0</v>
      </c>
      <c r="Y95" s="91">
        <f>_xlfn.XLOOKUP(TournamentData[[#This Row],[Team Number]],RobotDesignResults[Team Number],RobotDesignResults[Engineering Design Score],0,0,)</f>
        <v>0</v>
      </c>
      <c r="Z9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95" s="93">
        <f t="shared" si="2"/>
        <v>8</v>
      </c>
      <c r="AB95" s="31"/>
    </row>
    <row r="96" spans="1:28" ht="21" customHeight="1" x14ac:dyDescent="0.25">
      <c r="A96">
        <f>_xlfn.XLOOKUP(94,OfficialTeamList[Row],OfficialTeamList[Team Number],"ERROR",0)</f>
        <v>0</v>
      </c>
      <c r="B96" s="27" t="str">
        <f>_xlfn.XLOOKUP(TournamentData[[#This Row],[Team Number]],OfficialTeamList[Team Number],OfficialTeamList[Team Name],"",0,)</f>
        <v/>
      </c>
      <c r="C96" s="28">
        <f>IF(TournamentData[[#This Row],[Team Number]]="","",_xlfn.XLOOKUP(TournamentData[[#This Row],[Team Number]],RobotGameScores[Team Number],RobotGameScores[Match 1 Score],0,0,))</f>
        <v>0</v>
      </c>
      <c r="D96" s="28">
        <f>IF(TournamentData[[#This Row],[Team Number]]="","",_xlfn.XLOOKUP(TournamentData[[#This Row],[Team Number]],RobotGameScores[Team Number],RobotGameScores[Match 2 Score],0,0,))</f>
        <v>0</v>
      </c>
      <c r="E96" s="28">
        <f>IF(TournamentData[[#This Row],[Team Number]]="","",_xlfn.XLOOKUP(TournamentData[[#This Row],[Team Number]],RobotGameScores[Team Number],RobotGameScores[Match 3 Score],0,0,))</f>
        <v>0</v>
      </c>
      <c r="F96" s="28">
        <f>IF(TournamentData[[#This Row],[Team Number]]="","",_xlfn.XLOOKUP(TournamentData[[#This Row],[Team Number]],RobotGameScores[Team Number],RobotGameScores[Match 4 Score],0,0,))</f>
        <v>0</v>
      </c>
      <c r="G96" s="28">
        <f>IF(TournamentData[[#This Row],[Team Number]]="","",_xlfn.XLOOKUP(TournamentData[[#This Row],[Team Number]],RobotGameScores[Team Number],RobotGameScores[Match 5 Score],0,0,))</f>
        <v>0</v>
      </c>
      <c r="H96" s="28" t="str">
        <f>IF(TournamentData[[#This Row],[Team Name]]="","",_xlfn.XLOOKUP(TournamentData[[#This Row],[Team Name]],RobotGameScores[Team Name],RobotGameScores[Match 6 Score],0,0,))</f>
        <v/>
      </c>
      <c r="I96" s="28">
        <v>0</v>
      </c>
      <c r="J96" s="28">
        <f>SUM(TournamentData[[#This Row],[Match Score 1]:[Match Score 6]])/NumberOfRounds</f>
        <v>0</v>
      </c>
      <c r="K96" s="60">
        <f>IF(TournamentData[[#This Row],[Team Number]]="","",1+COUNTIFS($J$3:$J$201,"&gt;"&amp;J96)+COUNTIFS($J$3:$J$201,J96,$I$3:$I$201,"&gt;"&amp;I96))</f>
        <v>9</v>
      </c>
      <c r="L96" s="28">
        <f>IF(TournamentData[[#This Row],[Team Number]]="","",_xlfn.XLOOKUP(TournamentData[[#This Row],[Team Number]],CoreValuesResults[Team Number],CoreValuesResults[Core Values Rank],NumberOfTeams+1,0,))</f>
        <v>9</v>
      </c>
      <c r="M96" s="28">
        <f>IF(TournamentData[[#This Row],[Team Number]]="","",_xlfn.XLOOKUP(TournamentData[[#This Row],[Team Number]],InnovationProjectResults[Team Number],InnovationProjectResults[Innovation Project Rank],NumberOfTeams+1,0,))</f>
        <v>9</v>
      </c>
      <c r="N96" s="28">
        <f>IF(TournamentData[[#This Row],[Team Number]]="","",_xlfn.XLOOKUP(TournamentData[[#This Row],[Team Number]],RobotDesignResults[Team Number],RobotDesignResults[Engineering Design Rank],NumberOfTeams+1,0,))</f>
        <v>9</v>
      </c>
      <c r="O9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96" s="29">
        <f>IF(TournamentData[[#This Row],[Team Number]]="","",IF(O96,RANK(O96,O$3:O$202,1)-COUNTIF(O$3:O$202,0),NumberOfTeams+1))</f>
        <v>9</v>
      </c>
      <c r="Q96" s="30">
        <f>_xlfn.XLOOKUP(TournamentData[[#This Row],[Team Number]],CoreValuesResults[Team Number],CoreValuesResults[Inspiration Selection],0,0,)</f>
        <v>0</v>
      </c>
      <c r="R96" s="33">
        <f>_xlfn.XLOOKUP(TournamentData[[#This Row],[Team Number]],CoreValuesResults[Team Number],CoreValuesResults[Rising All-Star Selection],0,0,)</f>
        <v>0</v>
      </c>
      <c r="S9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96" s="31"/>
      <c r="U96" s="31"/>
      <c r="V96" s="32"/>
      <c r="W96" s="91">
        <f>_xlfn.XLOOKUP(TournamentData[[#This Row],[Team Number]],CoreValuesResults[Team Number],CoreValuesResults[Core Values Score],0,0,)</f>
        <v>0</v>
      </c>
      <c r="X96" s="91">
        <f>_xlfn.XLOOKUP(TournamentData[[#This Row],[Team Number]],InnovationProjectResults[Team Number],InnovationProjectResults[Innovation Project Score],0,0,)</f>
        <v>0</v>
      </c>
      <c r="Y96" s="91">
        <f>_xlfn.XLOOKUP(TournamentData[[#This Row],[Team Number]],RobotDesignResults[Team Number],RobotDesignResults[Engineering Design Score],0,0,)</f>
        <v>0</v>
      </c>
      <c r="Z9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96" s="93">
        <f t="shared" si="2"/>
        <v>8</v>
      </c>
      <c r="AB96" s="31"/>
    </row>
    <row r="97" spans="1:28" ht="21" customHeight="1" x14ac:dyDescent="0.25">
      <c r="A97">
        <f>_xlfn.XLOOKUP(95,OfficialTeamList[Row],OfficialTeamList[Team Number],"ERROR",0)</f>
        <v>0</v>
      </c>
      <c r="B97" s="27" t="str">
        <f>_xlfn.XLOOKUP(TournamentData[[#This Row],[Team Number]],OfficialTeamList[Team Number],OfficialTeamList[Team Name],"",0,)</f>
        <v/>
      </c>
      <c r="C97" s="28">
        <f>IF(TournamentData[[#This Row],[Team Number]]="","",_xlfn.XLOOKUP(TournamentData[[#This Row],[Team Number]],RobotGameScores[Team Number],RobotGameScores[Match 1 Score],0,0,))</f>
        <v>0</v>
      </c>
      <c r="D97" s="28">
        <f>IF(TournamentData[[#This Row],[Team Number]]="","",_xlfn.XLOOKUP(TournamentData[[#This Row],[Team Number]],RobotGameScores[Team Number],RobotGameScores[Match 2 Score],0,0,))</f>
        <v>0</v>
      </c>
      <c r="E97" s="28">
        <f>IF(TournamentData[[#This Row],[Team Number]]="","",_xlfn.XLOOKUP(TournamentData[[#This Row],[Team Number]],RobotGameScores[Team Number],RobotGameScores[Match 3 Score],0,0,))</f>
        <v>0</v>
      </c>
      <c r="F97" s="28">
        <f>IF(TournamentData[[#This Row],[Team Number]]="","",_xlfn.XLOOKUP(TournamentData[[#This Row],[Team Number]],RobotGameScores[Team Number],RobotGameScores[Match 4 Score],0,0,))</f>
        <v>0</v>
      </c>
      <c r="G97" s="28">
        <f>IF(TournamentData[[#This Row],[Team Number]]="","",_xlfn.XLOOKUP(TournamentData[[#This Row],[Team Number]],RobotGameScores[Team Number],RobotGameScores[Match 5 Score],0,0,))</f>
        <v>0</v>
      </c>
      <c r="H97" s="28" t="str">
        <f>IF(TournamentData[[#This Row],[Team Name]]="","",_xlfn.XLOOKUP(TournamentData[[#This Row],[Team Name]],RobotGameScores[Team Name],RobotGameScores[Match 6 Score],0,0,))</f>
        <v/>
      </c>
      <c r="I97" s="28">
        <v>0</v>
      </c>
      <c r="J97" s="28">
        <f>SUM(TournamentData[[#This Row],[Match Score 1]:[Match Score 6]])/NumberOfRounds</f>
        <v>0</v>
      </c>
      <c r="K97" s="59">
        <f>IF(TournamentData[[#This Row],[Team Number]]="","",1+COUNTIFS($J$3:$J$201,"&gt;"&amp;J97)+COUNTIFS($J$3:$J$201,J97,$I$3:$I$201,"&gt;"&amp;I97))</f>
        <v>9</v>
      </c>
      <c r="L97" s="28">
        <f>IF(TournamentData[[#This Row],[Team Number]]="","",_xlfn.XLOOKUP(TournamentData[[#This Row],[Team Number]],CoreValuesResults[Team Number],CoreValuesResults[Core Values Rank],NumberOfTeams+1,0,))</f>
        <v>9</v>
      </c>
      <c r="M97" s="28">
        <f>IF(TournamentData[[#This Row],[Team Number]]="","",_xlfn.XLOOKUP(TournamentData[[#This Row],[Team Number]],InnovationProjectResults[Team Number],InnovationProjectResults[Innovation Project Rank],NumberOfTeams+1,0,))</f>
        <v>9</v>
      </c>
      <c r="N97" s="28">
        <f>IF(TournamentData[[#This Row],[Team Number]]="","",_xlfn.XLOOKUP(TournamentData[[#This Row],[Team Number]],RobotDesignResults[Team Number],RobotDesignResults[Engineering Design Rank],NumberOfTeams+1,0,))</f>
        <v>9</v>
      </c>
      <c r="O9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97" s="29">
        <f>IF(TournamentData[[#This Row],[Team Number]]="","",IF(O97,RANK(O97,O$3:O$202,1)-COUNTIF(O$3:O$202,0),NumberOfTeams+1))</f>
        <v>9</v>
      </c>
      <c r="Q97" s="30">
        <f>_xlfn.XLOOKUP(TournamentData[[#This Row],[Team Number]],CoreValuesResults[Team Number],CoreValuesResults[Inspiration Selection],0,0,)</f>
        <v>0</v>
      </c>
      <c r="R97" s="33">
        <f>_xlfn.XLOOKUP(TournamentData[[#This Row],[Team Number]],CoreValuesResults[Team Number],CoreValuesResults[Rising All-Star Selection],0,0,)</f>
        <v>0</v>
      </c>
      <c r="S9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97" s="31"/>
      <c r="U97" s="31"/>
      <c r="V97" s="32"/>
      <c r="W97" s="91">
        <f>_xlfn.XLOOKUP(TournamentData[[#This Row],[Team Number]],CoreValuesResults[Team Number],CoreValuesResults[Core Values Score],0,0,)</f>
        <v>0</v>
      </c>
      <c r="X97" s="91">
        <f>_xlfn.XLOOKUP(TournamentData[[#This Row],[Team Number]],InnovationProjectResults[Team Number],InnovationProjectResults[Innovation Project Score],0,0,)</f>
        <v>0</v>
      </c>
      <c r="Y97" s="91">
        <f>_xlfn.XLOOKUP(TournamentData[[#This Row],[Team Number]],RobotDesignResults[Team Number],RobotDesignResults[Engineering Design Score],0,0,)</f>
        <v>0</v>
      </c>
      <c r="Z9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97" s="93">
        <f t="shared" si="2"/>
        <v>8</v>
      </c>
      <c r="AB97" s="31"/>
    </row>
    <row r="98" spans="1:28" ht="21" customHeight="1" x14ac:dyDescent="0.25">
      <c r="A98">
        <f>_xlfn.XLOOKUP(96,OfficialTeamList[Row],OfficialTeamList[Team Number],"ERROR",0)</f>
        <v>0</v>
      </c>
      <c r="B98" s="27" t="str">
        <f>_xlfn.XLOOKUP(TournamentData[[#This Row],[Team Number]],OfficialTeamList[Team Number],OfficialTeamList[Team Name],"",0,)</f>
        <v/>
      </c>
      <c r="C98" s="28">
        <f>IF(TournamentData[[#This Row],[Team Number]]="","",_xlfn.XLOOKUP(TournamentData[[#This Row],[Team Number]],RobotGameScores[Team Number],RobotGameScores[Match 1 Score],0,0,))</f>
        <v>0</v>
      </c>
      <c r="D98" s="28">
        <f>IF(TournamentData[[#This Row],[Team Number]]="","",_xlfn.XLOOKUP(TournamentData[[#This Row],[Team Number]],RobotGameScores[Team Number],RobotGameScores[Match 2 Score],0,0,))</f>
        <v>0</v>
      </c>
      <c r="E98" s="28">
        <f>IF(TournamentData[[#This Row],[Team Number]]="","",_xlfn.XLOOKUP(TournamentData[[#This Row],[Team Number]],RobotGameScores[Team Number],RobotGameScores[Match 3 Score],0,0,))</f>
        <v>0</v>
      </c>
      <c r="F98" s="28">
        <f>IF(TournamentData[[#This Row],[Team Number]]="","",_xlfn.XLOOKUP(TournamentData[[#This Row],[Team Number]],RobotGameScores[Team Number],RobotGameScores[Match 4 Score],0,0,))</f>
        <v>0</v>
      </c>
      <c r="G98" s="28">
        <f>IF(TournamentData[[#This Row],[Team Number]]="","",_xlfn.XLOOKUP(TournamentData[[#This Row],[Team Number]],RobotGameScores[Team Number],RobotGameScores[Match 5 Score],0,0,))</f>
        <v>0</v>
      </c>
      <c r="H98" s="28" t="str">
        <f>IF(TournamentData[[#This Row],[Team Name]]="","",_xlfn.XLOOKUP(TournamentData[[#This Row],[Team Name]],RobotGameScores[Team Name],RobotGameScores[Match 6 Score],0,0,))</f>
        <v/>
      </c>
      <c r="I98" s="28">
        <v>0</v>
      </c>
      <c r="J98" s="28">
        <f>SUM(TournamentData[[#This Row],[Match Score 1]:[Match Score 6]])/NumberOfRounds</f>
        <v>0</v>
      </c>
      <c r="K98" s="60">
        <f>IF(TournamentData[[#This Row],[Team Number]]="","",1+COUNTIFS($J$3:$J$201,"&gt;"&amp;J98)+COUNTIFS($J$3:$J$201,J98,$I$3:$I$201,"&gt;"&amp;I98))</f>
        <v>9</v>
      </c>
      <c r="L98" s="28">
        <f>IF(TournamentData[[#This Row],[Team Number]]="","",_xlfn.XLOOKUP(TournamentData[[#This Row],[Team Number]],CoreValuesResults[Team Number],CoreValuesResults[Core Values Rank],NumberOfTeams+1,0,))</f>
        <v>9</v>
      </c>
      <c r="M98" s="28">
        <f>IF(TournamentData[[#This Row],[Team Number]]="","",_xlfn.XLOOKUP(TournamentData[[#This Row],[Team Number]],InnovationProjectResults[Team Number],InnovationProjectResults[Innovation Project Rank],NumberOfTeams+1,0,))</f>
        <v>9</v>
      </c>
      <c r="N98" s="28">
        <f>IF(TournamentData[[#This Row],[Team Number]]="","",_xlfn.XLOOKUP(TournamentData[[#This Row],[Team Number]],RobotDesignResults[Team Number],RobotDesignResults[Engineering Design Rank],NumberOfTeams+1,0,))</f>
        <v>9</v>
      </c>
      <c r="O9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98" s="29">
        <f>IF(TournamentData[[#This Row],[Team Number]]="","",IF(O98,RANK(O98,O$3:O$202,1)-COUNTIF(O$3:O$202,0),NumberOfTeams+1))</f>
        <v>9</v>
      </c>
      <c r="Q98" s="30">
        <f>_xlfn.XLOOKUP(TournamentData[[#This Row],[Team Number]],CoreValuesResults[Team Number],CoreValuesResults[Inspiration Selection],0,0,)</f>
        <v>0</v>
      </c>
      <c r="R98" s="33">
        <f>_xlfn.XLOOKUP(TournamentData[[#This Row],[Team Number]],CoreValuesResults[Team Number],CoreValuesResults[Rising All-Star Selection],0,0,)</f>
        <v>0</v>
      </c>
      <c r="S9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98" s="31"/>
      <c r="U98" s="31"/>
      <c r="V98" s="32"/>
      <c r="W98" s="91">
        <f>_xlfn.XLOOKUP(TournamentData[[#This Row],[Team Number]],CoreValuesResults[Team Number],CoreValuesResults[Core Values Score],0,0,)</f>
        <v>0</v>
      </c>
      <c r="X98" s="91">
        <f>_xlfn.XLOOKUP(TournamentData[[#This Row],[Team Number]],InnovationProjectResults[Team Number],InnovationProjectResults[Innovation Project Score],0,0,)</f>
        <v>0</v>
      </c>
      <c r="Y98" s="91">
        <f>_xlfn.XLOOKUP(TournamentData[[#This Row],[Team Number]],RobotDesignResults[Team Number],RobotDesignResults[Engineering Design Score],0,0,)</f>
        <v>0</v>
      </c>
      <c r="Z9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98" s="93">
        <f t="shared" si="2"/>
        <v>8</v>
      </c>
      <c r="AB98" s="31"/>
    </row>
    <row r="99" spans="1:28" ht="21" customHeight="1" x14ac:dyDescent="0.25">
      <c r="A99">
        <f>_xlfn.XLOOKUP(97,OfficialTeamList[Row],OfficialTeamList[Team Number],"ERROR",0)</f>
        <v>0</v>
      </c>
      <c r="B99" s="27" t="str">
        <f>_xlfn.XLOOKUP(TournamentData[[#This Row],[Team Number]],OfficialTeamList[Team Number],OfficialTeamList[Team Name],"",0,)</f>
        <v/>
      </c>
      <c r="C99" s="28">
        <f>IF(TournamentData[[#This Row],[Team Number]]="","",_xlfn.XLOOKUP(TournamentData[[#This Row],[Team Number]],RobotGameScores[Team Number],RobotGameScores[Match 1 Score],0,0,))</f>
        <v>0</v>
      </c>
      <c r="D99" s="28">
        <f>IF(TournamentData[[#This Row],[Team Number]]="","",_xlfn.XLOOKUP(TournamentData[[#This Row],[Team Number]],RobotGameScores[Team Number],RobotGameScores[Match 2 Score],0,0,))</f>
        <v>0</v>
      </c>
      <c r="E99" s="28">
        <f>IF(TournamentData[[#This Row],[Team Number]]="","",_xlfn.XLOOKUP(TournamentData[[#This Row],[Team Number]],RobotGameScores[Team Number],RobotGameScores[Match 3 Score],0,0,))</f>
        <v>0</v>
      </c>
      <c r="F99" s="28">
        <f>IF(TournamentData[[#This Row],[Team Number]]="","",_xlfn.XLOOKUP(TournamentData[[#This Row],[Team Number]],RobotGameScores[Team Number],RobotGameScores[Match 4 Score],0,0,))</f>
        <v>0</v>
      </c>
      <c r="G99" s="28">
        <f>IF(TournamentData[[#This Row],[Team Number]]="","",_xlfn.XLOOKUP(TournamentData[[#This Row],[Team Number]],RobotGameScores[Team Number],RobotGameScores[Match 5 Score],0,0,))</f>
        <v>0</v>
      </c>
      <c r="H99" s="28" t="str">
        <f>IF(TournamentData[[#This Row],[Team Name]]="","",_xlfn.XLOOKUP(TournamentData[[#This Row],[Team Name]],RobotGameScores[Team Name],RobotGameScores[Match 6 Score],0,0,))</f>
        <v/>
      </c>
      <c r="I99" s="28">
        <v>0</v>
      </c>
      <c r="J99" s="28">
        <f>SUM(TournamentData[[#This Row],[Match Score 1]:[Match Score 6]])/NumberOfRounds</f>
        <v>0</v>
      </c>
      <c r="K99" s="59">
        <f>IF(TournamentData[[#This Row],[Team Number]]="","",1+COUNTIFS($J$3:$J$201,"&gt;"&amp;J99)+COUNTIFS($J$3:$J$201,J99,$I$3:$I$201,"&gt;"&amp;I99))</f>
        <v>9</v>
      </c>
      <c r="L99" s="28">
        <f>IF(TournamentData[[#This Row],[Team Number]]="","",_xlfn.XLOOKUP(TournamentData[[#This Row],[Team Number]],CoreValuesResults[Team Number],CoreValuesResults[Core Values Rank],NumberOfTeams+1,0,))</f>
        <v>9</v>
      </c>
      <c r="M99" s="28">
        <f>IF(TournamentData[[#This Row],[Team Number]]="","",_xlfn.XLOOKUP(TournamentData[[#This Row],[Team Number]],InnovationProjectResults[Team Number],InnovationProjectResults[Innovation Project Rank],NumberOfTeams+1,0,))</f>
        <v>9</v>
      </c>
      <c r="N99" s="28">
        <f>IF(TournamentData[[#This Row],[Team Number]]="","",_xlfn.XLOOKUP(TournamentData[[#This Row],[Team Number]],RobotDesignResults[Team Number],RobotDesignResults[Engineering Design Rank],NumberOfTeams+1,0,))</f>
        <v>9</v>
      </c>
      <c r="O9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99" s="29">
        <f>IF(TournamentData[[#This Row],[Team Number]]="","",IF(O99,RANK(O99,O$3:O$202,1)-COUNTIF(O$3:O$202,0),NumberOfTeams+1))</f>
        <v>9</v>
      </c>
      <c r="Q99" s="30">
        <f>_xlfn.XLOOKUP(TournamentData[[#This Row],[Team Number]],CoreValuesResults[Team Number],CoreValuesResults[Inspiration Selection],0,0,)</f>
        <v>0</v>
      </c>
      <c r="R99" s="33">
        <f>_xlfn.XLOOKUP(TournamentData[[#This Row],[Team Number]],CoreValuesResults[Team Number],CoreValuesResults[Rising All-Star Selection],0,0,)</f>
        <v>0</v>
      </c>
      <c r="S9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99" s="31"/>
      <c r="U99" s="31"/>
      <c r="V99" s="32"/>
      <c r="W99" s="91">
        <f>_xlfn.XLOOKUP(TournamentData[[#This Row],[Team Number]],CoreValuesResults[Team Number],CoreValuesResults[Core Values Score],0,0,)</f>
        <v>0</v>
      </c>
      <c r="X99" s="91">
        <f>_xlfn.XLOOKUP(TournamentData[[#This Row],[Team Number]],InnovationProjectResults[Team Number],InnovationProjectResults[Innovation Project Score],0,0,)</f>
        <v>0</v>
      </c>
      <c r="Y99" s="91">
        <f>_xlfn.XLOOKUP(TournamentData[[#This Row],[Team Number]],RobotDesignResults[Team Number],RobotDesignResults[Engineering Design Score],0,0,)</f>
        <v>0</v>
      </c>
      <c r="Z9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99" s="93">
        <f t="shared" ref="AA99:AA130" si="3">IF(Z99,_xlfn.RANK.EQ(Z99,Z$3:Z$110,0),NumberOfTeams)</f>
        <v>8</v>
      </c>
      <c r="AB99" s="31"/>
    </row>
    <row r="100" spans="1:28" ht="21" customHeight="1" x14ac:dyDescent="0.25">
      <c r="A100">
        <f>_xlfn.XLOOKUP(98,OfficialTeamList[Row],OfficialTeamList[Team Number],"ERROR",0)</f>
        <v>0</v>
      </c>
      <c r="B100" s="27" t="str">
        <f>_xlfn.XLOOKUP(TournamentData[[#This Row],[Team Number]],OfficialTeamList[Team Number],OfficialTeamList[Team Name],"",0,)</f>
        <v/>
      </c>
      <c r="C100" s="28">
        <f>IF(TournamentData[[#This Row],[Team Number]]="","",_xlfn.XLOOKUP(TournamentData[[#This Row],[Team Number]],RobotGameScores[Team Number],RobotGameScores[Match 1 Score],0,0,))</f>
        <v>0</v>
      </c>
      <c r="D100" s="28">
        <f>IF(TournamentData[[#This Row],[Team Number]]="","",_xlfn.XLOOKUP(TournamentData[[#This Row],[Team Number]],RobotGameScores[Team Number],RobotGameScores[Match 2 Score],0,0,))</f>
        <v>0</v>
      </c>
      <c r="E100" s="28">
        <f>IF(TournamentData[[#This Row],[Team Number]]="","",_xlfn.XLOOKUP(TournamentData[[#This Row],[Team Number]],RobotGameScores[Team Number],RobotGameScores[Match 3 Score],0,0,))</f>
        <v>0</v>
      </c>
      <c r="F100" s="28">
        <f>IF(TournamentData[[#This Row],[Team Number]]="","",_xlfn.XLOOKUP(TournamentData[[#This Row],[Team Number]],RobotGameScores[Team Number],RobotGameScores[Match 4 Score],0,0,))</f>
        <v>0</v>
      </c>
      <c r="G100" s="28">
        <f>IF(TournamentData[[#This Row],[Team Number]]="","",_xlfn.XLOOKUP(TournamentData[[#This Row],[Team Number]],RobotGameScores[Team Number],RobotGameScores[Match 5 Score],0,0,))</f>
        <v>0</v>
      </c>
      <c r="H100" s="28" t="str">
        <f>IF(TournamentData[[#This Row],[Team Name]]="","",_xlfn.XLOOKUP(TournamentData[[#This Row],[Team Name]],RobotGameScores[Team Name],RobotGameScores[Match 6 Score],0,0,))</f>
        <v/>
      </c>
      <c r="I100" s="28">
        <v>0</v>
      </c>
      <c r="J100" s="28">
        <f>SUM(TournamentData[[#This Row],[Match Score 1]:[Match Score 6]])/NumberOfRounds</f>
        <v>0</v>
      </c>
      <c r="K100" s="60">
        <f>IF(TournamentData[[#This Row],[Team Number]]="","",1+COUNTIFS($J$3:$J$201,"&gt;"&amp;J100)+COUNTIFS($J$3:$J$201,J100,$I$3:$I$201,"&gt;"&amp;I100))</f>
        <v>9</v>
      </c>
      <c r="L100" s="28">
        <f>IF(TournamentData[[#This Row],[Team Number]]="","",_xlfn.XLOOKUP(TournamentData[[#This Row],[Team Number]],CoreValuesResults[Team Number],CoreValuesResults[Core Values Rank],NumberOfTeams+1,0,))</f>
        <v>9</v>
      </c>
      <c r="M100" s="28">
        <f>IF(TournamentData[[#This Row],[Team Number]]="","",_xlfn.XLOOKUP(TournamentData[[#This Row],[Team Number]],InnovationProjectResults[Team Number],InnovationProjectResults[Innovation Project Rank],NumberOfTeams+1,0,))</f>
        <v>9</v>
      </c>
      <c r="N100" s="28">
        <f>IF(TournamentData[[#This Row],[Team Number]]="","",_xlfn.XLOOKUP(TournamentData[[#This Row],[Team Number]],RobotDesignResults[Team Number],RobotDesignResults[Engineering Design Rank],NumberOfTeams+1,0,))</f>
        <v>9</v>
      </c>
      <c r="O10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00" s="29">
        <f>IF(TournamentData[[#This Row],[Team Number]]="","",IF(O100,RANK(O100,O$3:O$202,1)-COUNTIF(O$3:O$202,0),NumberOfTeams+1))</f>
        <v>9</v>
      </c>
      <c r="Q100" s="30">
        <f>_xlfn.XLOOKUP(TournamentData[[#This Row],[Team Number]],CoreValuesResults[Team Number],CoreValuesResults[Inspiration Selection],0,0,)</f>
        <v>0</v>
      </c>
      <c r="R100" s="33">
        <f>_xlfn.XLOOKUP(TournamentData[[#This Row],[Team Number]],CoreValuesResults[Team Number],CoreValuesResults[Rising All-Star Selection],0,0,)</f>
        <v>0</v>
      </c>
      <c r="S10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00" s="31"/>
      <c r="U100" s="31"/>
      <c r="V100" s="32"/>
      <c r="W100" s="91">
        <f>_xlfn.XLOOKUP(TournamentData[[#This Row],[Team Number]],CoreValuesResults[Team Number],CoreValuesResults[Core Values Score],0,0,)</f>
        <v>0</v>
      </c>
      <c r="X100" s="91">
        <f>_xlfn.XLOOKUP(TournamentData[[#This Row],[Team Number]],InnovationProjectResults[Team Number],InnovationProjectResults[Innovation Project Score],0,0,)</f>
        <v>0</v>
      </c>
      <c r="Y100" s="91">
        <f>_xlfn.XLOOKUP(TournamentData[[#This Row],[Team Number]],RobotDesignResults[Team Number],RobotDesignResults[Engineering Design Score],0,0,)</f>
        <v>0</v>
      </c>
      <c r="Z10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00" s="93">
        <f t="shared" si="3"/>
        <v>8</v>
      </c>
      <c r="AB100" s="31"/>
    </row>
    <row r="101" spans="1:28" ht="21" customHeight="1" x14ac:dyDescent="0.25">
      <c r="A101">
        <f>_xlfn.XLOOKUP(99,OfficialTeamList[Row],OfficialTeamList[Team Number],"ERROR",0)</f>
        <v>0</v>
      </c>
      <c r="B101" s="27" t="str">
        <f>_xlfn.XLOOKUP(TournamentData[[#This Row],[Team Number]],OfficialTeamList[Team Number],OfficialTeamList[Team Name],"",0,)</f>
        <v/>
      </c>
      <c r="C101" s="28">
        <f>IF(TournamentData[[#This Row],[Team Number]]="","",_xlfn.XLOOKUP(TournamentData[[#This Row],[Team Number]],RobotGameScores[Team Number],RobotGameScores[Match 1 Score],0,0,))</f>
        <v>0</v>
      </c>
      <c r="D101" s="28">
        <f>IF(TournamentData[[#This Row],[Team Number]]="","",_xlfn.XLOOKUP(TournamentData[[#This Row],[Team Number]],RobotGameScores[Team Number],RobotGameScores[Match 2 Score],0,0,))</f>
        <v>0</v>
      </c>
      <c r="E101" s="28">
        <f>IF(TournamentData[[#This Row],[Team Number]]="","",_xlfn.XLOOKUP(TournamentData[[#This Row],[Team Number]],RobotGameScores[Team Number],RobotGameScores[Match 3 Score],0,0,))</f>
        <v>0</v>
      </c>
      <c r="F101" s="28">
        <f>IF(TournamentData[[#This Row],[Team Number]]="","",_xlfn.XLOOKUP(TournamentData[[#This Row],[Team Number]],RobotGameScores[Team Number],RobotGameScores[Match 4 Score],0,0,))</f>
        <v>0</v>
      </c>
      <c r="G101" s="28">
        <f>IF(TournamentData[[#This Row],[Team Number]]="","",_xlfn.XLOOKUP(TournamentData[[#This Row],[Team Number]],RobotGameScores[Team Number],RobotGameScores[Match 5 Score],0,0,))</f>
        <v>0</v>
      </c>
      <c r="H101" s="28" t="str">
        <f>IF(TournamentData[[#This Row],[Team Name]]="","",_xlfn.XLOOKUP(TournamentData[[#This Row],[Team Name]],RobotGameScores[Team Name],RobotGameScores[Match 6 Score],0,0,))</f>
        <v/>
      </c>
      <c r="I101" s="28">
        <v>0</v>
      </c>
      <c r="J101" s="28">
        <f>SUM(TournamentData[[#This Row],[Match Score 1]:[Match Score 6]])/NumberOfRounds</f>
        <v>0</v>
      </c>
      <c r="K101" s="59">
        <f>IF(TournamentData[[#This Row],[Team Number]]="","",1+COUNTIFS($J$3:$J$201,"&gt;"&amp;J101)+COUNTIFS($J$3:$J$201,J101,$I$3:$I$201,"&gt;"&amp;I101))</f>
        <v>9</v>
      </c>
      <c r="L101" s="28">
        <f>IF(TournamentData[[#This Row],[Team Number]]="","",_xlfn.XLOOKUP(TournamentData[[#This Row],[Team Number]],CoreValuesResults[Team Number],CoreValuesResults[Core Values Rank],NumberOfTeams+1,0,))</f>
        <v>9</v>
      </c>
      <c r="M101" s="28">
        <f>IF(TournamentData[[#This Row],[Team Number]]="","",_xlfn.XLOOKUP(TournamentData[[#This Row],[Team Number]],InnovationProjectResults[Team Number],InnovationProjectResults[Innovation Project Rank],NumberOfTeams+1,0,))</f>
        <v>9</v>
      </c>
      <c r="N101" s="28">
        <f>IF(TournamentData[[#This Row],[Team Number]]="","",_xlfn.XLOOKUP(TournamentData[[#This Row],[Team Number]],RobotDesignResults[Team Number],RobotDesignResults[Engineering Design Rank],NumberOfTeams+1,0,))</f>
        <v>9</v>
      </c>
      <c r="O10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01" s="29">
        <f>IF(TournamentData[[#This Row],[Team Number]]="","",IF(O101,RANK(O101,O$3:O$202,1)-COUNTIF(O$3:O$202,0),NumberOfTeams+1))</f>
        <v>9</v>
      </c>
      <c r="Q101" s="30">
        <f>_xlfn.XLOOKUP(TournamentData[[#This Row],[Team Number]],CoreValuesResults[Team Number],CoreValuesResults[Inspiration Selection],0,0,)</f>
        <v>0</v>
      </c>
      <c r="R101" s="33">
        <f>_xlfn.XLOOKUP(TournamentData[[#This Row],[Team Number]],CoreValuesResults[Team Number],CoreValuesResults[Rising All-Star Selection],0,0,)</f>
        <v>0</v>
      </c>
      <c r="S10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01" s="31"/>
      <c r="U101" s="31"/>
      <c r="V101" s="32"/>
      <c r="W101" s="91">
        <f>_xlfn.XLOOKUP(TournamentData[[#This Row],[Team Number]],CoreValuesResults[Team Number],CoreValuesResults[Core Values Score],0,0,)</f>
        <v>0</v>
      </c>
      <c r="X101" s="91">
        <f>_xlfn.XLOOKUP(TournamentData[[#This Row],[Team Number]],InnovationProjectResults[Team Number],InnovationProjectResults[Innovation Project Score],0,0,)</f>
        <v>0</v>
      </c>
      <c r="Y101" s="91">
        <f>_xlfn.XLOOKUP(TournamentData[[#This Row],[Team Number]],RobotDesignResults[Team Number],RobotDesignResults[Engineering Design Score],0,0,)</f>
        <v>0</v>
      </c>
      <c r="Z10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01" s="93">
        <f t="shared" si="3"/>
        <v>8</v>
      </c>
      <c r="AB101" s="31"/>
    </row>
    <row r="102" spans="1:28" ht="21" customHeight="1" x14ac:dyDescent="0.25">
      <c r="A102">
        <f>_xlfn.XLOOKUP(100,OfficialTeamList[Row],OfficialTeamList[Team Number],"ERROR",0)</f>
        <v>0</v>
      </c>
      <c r="B102" s="27" t="str">
        <f>_xlfn.XLOOKUP(TournamentData[[#This Row],[Team Number]],OfficialTeamList[Team Number],OfficialTeamList[Team Name],"",0,)</f>
        <v/>
      </c>
      <c r="C102" s="28">
        <f>IF(TournamentData[[#This Row],[Team Number]]="","",_xlfn.XLOOKUP(TournamentData[[#This Row],[Team Number]],RobotGameScores[Team Number],RobotGameScores[Match 1 Score],0,0,))</f>
        <v>0</v>
      </c>
      <c r="D102" s="28">
        <f>IF(TournamentData[[#This Row],[Team Number]]="","",_xlfn.XLOOKUP(TournamentData[[#This Row],[Team Number]],RobotGameScores[Team Number],RobotGameScores[Match 2 Score],0,0,))</f>
        <v>0</v>
      </c>
      <c r="E102" s="28">
        <f>IF(TournamentData[[#This Row],[Team Number]]="","",_xlfn.XLOOKUP(TournamentData[[#This Row],[Team Number]],RobotGameScores[Team Number],RobotGameScores[Match 3 Score],0,0,))</f>
        <v>0</v>
      </c>
      <c r="F102" s="28">
        <f>IF(TournamentData[[#This Row],[Team Number]]="","",_xlfn.XLOOKUP(TournamentData[[#This Row],[Team Number]],RobotGameScores[Team Number],RobotGameScores[Match 4 Score],0,0,))</f>
        <v>0</v>
      </c>
      <c r="G102" s="28">
        <f>IF(TournamentData[[#This Row],[Team Number]]="","",_xlfn.XLOOKUP(TournamentData[[#This Row],[Team Number]],RobotGameScores[Team Number],RobotGameScores[Match 5 Score],0,0,))</f>
        <v>0</v>
      </c>
      <c r="H102" s="28" t="str">
        <f>IF(TournamentData[[#This Row],[Team Name]]="","",_xlfn.XLOOKUP(TournamentData[[#This Row],[Team Name]],RobotGameScores[Team Name],RobotGameScores[Match 6 Score],0,0,))</f>
        <v/>
      </c>
      <c r="I102" s="28">
        <v>0</v>
      </c>
      <c r="J102" s="28">
        <f>SUM(TournamentData[[#This Row],[Match Score 1]:[Match Score 6]])/NumberOfRounds</f>
        <v>0</v>
      </c>
      <c r="K102" s="60">
        <f>IF(TournamentData[[#This Row],[Team Number]]="","",1+COUNTIFS($J$3:$J$201,"&gt;"&amp;J102)+COUNTIFS($J$3:$J$201,J102,$I$3:$I$201,"&gt;"&amp;I102))</f>
        <v>9</v>
      </c>
      <c r="L102" s="28">
        <f>IF(TournamentData[[#This Row],[Team Number]]="","",_xlfn.XLOOKUP(TournamentData[[#This Row],[Team Number]],CoreValuesResults[Team Number],CoreValuesResults[Core Values Rank],NumberOfTeams+1,0,))</f>
        <v>9</v>
      </c>
      <c r="M102" s="28">
        <f>IF(TournamentData[[#This Row],[Team Number]]="","",_xlfn.XLOOKUP(TournamentData[[#This Row],[Team Number]],InnovationProjectResults[Team Number],InnovationProjectResults[Innovation Project Rank],NumberOfTeams+1,0,))</f>
        <v>9</v>
      </c>
      <c r="N102" s="28">
        <f>IF(TournamentData[[#This Row],[Team Number]]="","",_xlfn.XLOOKUP(TournamentData[[#This Row],[Team Number]],RobotDesignResults[Team Number],RobotDesignResults[Engineering Design Rank],NumberOfTeams+1,0,))</f>
        <v>9</v>
      </c>
      <c r="O10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02" s="29">
        <f>IF(TournamentData[[#This Row],[Team Number]]="","",IF(O102,RANK(O102,O$3:O$202,1)-COUNTIF(O$3:O$202,0),NumberOfTeams+1))</f>
        <v>9</v>
      </c>
      <c r="Q102" s="30">
        <f>_xlfn.XLOOKUP(TournamentData[[#This Row],[Team Number]],CoreValuesResults[Team Number],CoreValuesResults[Inspiration Selection],0,0,)</f>
        <v>0</v>
      </c>
      <c r="R102" s="33">
        <f>_xlfn.XLOOKUP(TournamentData[[#This Row],[Team Number]],CoreValuesResults[Team Number],CoreValuesResults[Rising All-Star Selection],0,0,)</f>
        <v>0</v>
      </c>
      <c r="S10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02" s="31"/>
      <c r="U102" s="31"/>
      <c r="V102" s="32"/>
      <c r="W102" s="91">
        <f>_xlfn.XLOOKUP(TournamentData[[#This Row],[Team Number]],CoreValuesResults[Team Number],CoreValuesResults[Core Values Score],0,0,)</f>
        <v>0</v>
      </c>
      <c r="X102" s="91">
        <f>_xlfn.XLOOKUP(TournamentData[[#This Row],[Team Number]],InnovationProjectResults[Team Number],InnovationProjectResults[Innovation Project Score],0,0,)</f>
        <v>0</v>
      </c>
      <c r="Y102" s="91">
        <f>_xlfn.XLOOKUP(TournamentData[[#This Row],[Team Number]],RobotDesignResults[Team Number],RobotDesignResults[Engineering Design Score],0,0,)</f>
        <v>0</v>
      </c>
      <c r="Z10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02" s="93">
        <f t="shared" si="3"/>
        <v>8</v>
      </c>
      <c r="AB102" s="31"/>
    </row>
    <row r="103" spans="1:28" ht="21" customHeight="1" x14ac:dyDescent="0.25">
      <c r="A103">
        <f>_xlfn.XLOOKUP(101,OfficialTeamList[Row],OfficialTeamList[Team Number],"ERROR",0)</f>
        <v>0</v>
      </c>
      <c r="B103" s="27" t="str">
        <f>_xlfn.XLOOKUP(TournamentData[[#This Row],[Team Number]],OfficialTeamList[Team Number],OfficialTeamList[Team Name],"",0,)</f>
        <v/>
      </c>
      <c r="C103" s="28">
        <f>IF(TournamentData[[#This Row],[Team Number]]="","",_xlfn.XLOOKUP(TournamentData[[#This Row],[Team Number]],RobotGameScores[Team Number],RobotGameScores[Match 1 Score],0,0,))</f>
        <v>0</v>
      </c>
      <c r="D103" s="28">
        <f>IF(TournamentData[[#This Row],[Team Number]]="","",_xlfn.XLOOKUP(TournamentData[[#This Row],[Team Number]],RobotGameScores[Team Number],RobotGameScores[Match 2 Score],0,0,))</f>
        <v>0</v>
      </c>
      <c r="E103" s="28">
        <f>IF(TournamentData[[#This Row],[Team Number]]="","",_xlfn.XLOOKUP(TournamentData[[#This Row],[Team Number]],RobotGameScores[Team Number],RobotGameScores[Match 3 Score],0,0,))</f>
        <v>0</v>
      </c>
      <c r="F103" s="28">
        <f>IF(TournamentData[[#This Row],[Team Number]]="","",_xlfn.XLOOKUP(TournamentData[[#This Row],[Team Number]],RobotGameScores[Team Number],RobotGameScores[Match 4 Score],0,0,))</f>
        <v>0</v>
      </c>
      <c r="G103" s="28">
        <f>IF(TournamentData[[#This Row],[Team Number]]="","",_xlfn.XLOOKUP(TournamentData[[#This Row],[Team Number]],RobotGameScores[Team Number],RobotGameScores[Match 5 Score],0,0,))</f>
        <v>0</v>
      </c>
      <c r="H103" s="28" t="str">
        <f>IF(TournamentData[[#This Row],[Team Name]]="","",_xlfn.XLOOKUP(TournamentData[[#This Row],[Team Name]],RobotGameScores[Team Name],RobotGameScores[Match 6 Score],0,0,))</f>
        <v/>
      </c>
      <c r="I103" s="28">
        <v>0</v>
      </c>
      <c r="J103" s="28">
        <f>SUM(TournamentData[[#This Row],[Match Score 1]:[Match Score 6]])/NumberOfRounds</f>
        <v>0</v>
      </c>
      <c r="K103" s="59">
        <f>IF(TournamentData[[#This Row],[Team Number]]="","",1+COUNTIFS($J$3:$J$201,"&gt;"&amp;J103)+COUNTIFS($J$3:$J$201,J103,$I$3:$I$201,"&gt;"&amp;I103))</f>
        <v>9</v>
      </c>
      <c r="L103" s="28">
        <f>IF(TournamentData[[#This Row],[Team Number]]="","",_xlfn.XLOOKUP(TournamentData[[#This Row],[Team Number]],CoreValuesResults[Team Number],CoreValuesResults[Core Values Rank],NumberOfTeams+1,0,))</f>
        <v>9</v>
      </c>
      <c r="M103" s="28">
        <f>IF(TournamentData[[#This Row],[Team Number]]="","",_xlfn.XLOOKUP(TournamentData[[#This Row],[Team Number]],InnovationProjectResults[Team Number],InnovationProjectResults[Innovation Project Rank],NumberOfTeams+1,0,))</f>
        <v>9</v>
      </c>
      <c r="N103" s="28">
        <f>IF(TournamentData[[#This Row],[Team Number]]="","",_xlfn.XLOOKUP(TournamentData[[#This Row],[Team Number]],RobotDesignResults[Team Number],RobotDesignResults[Engineering Design Rank],NumberOfTeams+1,0,))</f>
        <v>9</v>
      </c>
      <c r="O10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03" s="29">
        <f>IF(TournamentData[[#This Row],[Team Number]]="","",IF(O103,RANK(O103,O$3:O$202,1)-COUNTIF(O$3:O$202,0),NumberOfTeams+1))</f>
        <v>9</v>
      </c>
      <c r="Q103" s="30">
        <f>_xlfn.XLOOKUP(TournamentData[[#This Row],[Team Number]],CoreValuesResults[Team Number],CoreValuesResults[Inspiration Selection],0,0,)</f>
        <v>0</v>
      </c>
      <c r="R103" s="33">
        <f>_xlfn.XLOOKUP(TournamentData[[#This Row],[Team Number]],CoreValuesResults[Team Number],CoreValuesResults[Rising All-Star Selection],0,0,)</f>
        <v>0</v>
      </c>
      <c r="S10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03" s="31"/>
      <c r="U103" s="31"/>
      <c r="V103" s="32"/>
      <c r="W103" s="91">
        <f>_xlfn.XLOOKUP(TournamentData[[#This Row],[Team Number]],CoreValuesResults[Team Number],CoreValuesResults[Core Values Score],0,0,)</f>
        <v>0</v>
      </c>
      <c r="X103" s="91">
        <f>_xlfn.XLOOKUP(TournamentData[[#This Row],[Team Number]],InnovationProjectResults[Team Number],InnovationProjectResults[Innovation Project Score],0,0,)</f>
        <v>0</v>
      </c>
      <c r="Y103" s="91">
        <f>_xlfn.XLOOKUP(TournamentData[[#This Row],[Team Number]],RobotDesignResults[Team Number],RobotDesignResults[Engineering Design Score],0,0,)</f>
        <v>0</v>
      </c>
      <c r="Z10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03" s="93">
        <f t="shared" si="3"/>
        <v>8</v>
      </c>
      <c r="AB103" s="31"/>
    </row>
    <row r="104" spans="1:28" ht="21" customHeight="1" x14ac:dyDescent="0.25">
      <c r="A104">
        <f>_xlfn.XLOOKUP(102,OfficialTeamList[Row],OfficialTeamList[Team Number],"ERROR",0)</f>
        <v>0</v>
      </c>
      <c r="B104" s="27" t="str">
        <f>_xlfn.XLOOKUP(TournamentData[[#This Row],[Team Number]],OfficialTeamList[Team Number],OfficialTeamList[Team Name],"",0,)</f>
        <v/>
      </c>
      <c r="C104" s="28">
        <f>IF(TournamentData[[#This Row],[Team Number]]="","",_xlfn.XLOOKUP(TournamentData[[#This Row],[Team Number]],RobotGameScores[Team Number],RobotGameScores[Match 1 Score],0,0,))</f>
        <v>0</v>
      </c>
      <c r="D104" s="28">
        <f>IF(TournamentData[[#This Row],[Team Number]]="","",_xlfn.XLOOKUP(TournamentData[[#This Row],[Team Number]],RobotGameScores[Team Number],RobotGameScores[Match 2 Score],0,0,))</f>
        <v>0</v>
      </c>
      <c r="E104" s="28">
        <f>IF(TournamentData[[#This Row],[Team Number]]="","",_xlfn.XLOOKUP(TournamentData[[#This Row],[Team Number]],RobotGameScores[Team Number],RobotGameScores[Match 3 Score],0,0,))</f>
        <v>0</v>
      </c>
      <c r="F104" s="28">
        <f>IF(TournamentData[[#This Row],[Team Number]]="","",_xlfn.XLOOKUP(TournamentData[[#This Row],[Team Number]],RobotGameScores[Team Number],RobotGameScores[Match 4 Score],0,0,))</f>
        <v>0</v>
      </c>
      <c r="G104" s="28">
        <f>IF(TournamentData[[#This Row],[Team Number]]="","",_xlfn.XLOOKUP(TournamentData[[#This Row],[Team Number]],RobotGameScores[Team Number],RobotGameScores[Match 5 Score],0,0,))</f>
        <v>0</v>
      </c>
      <c r="H104" s="28" t="str">
        <f>IF(TournamentData[[#This Row],[Team Name]]="","",_xlfn.XLOOKUP(TournamentData[[#This Row],[Team Name]],RobotGameScores[Team Name],RobotGameScores[Match 6 Score],0,0,))</f>
        <v/>
      </c>
      <c r="I104" s="28">
        <v>0</v>
      </c>
      <c r="J104" s="28">
        <f>SUM(TournamentData[[#This Row],[Match Score 1]:[Match Score 6]])/NumberOfRounds</f>
        <v>0</v>
      </c>
      <c r="K104" s="60">
        <f>IF(TournamentData[[#This Row],[Team Number]]="","",1+COUNTIFS($J$3:$J$201,"&gt;"&amp;J104)+COUNTIFS($J$3:$J$201,J104,$I$3:$I$201,"&gt;"&amp;I104))</f>
        <v>9</v>
      </c>
      <c r="L104" s="28">
        <f>IF(TournamentData[[#This Row],[Team Number]]="","",_xlfn.XLOOKUP(TournamentData[[#This Row],[Team Number]],CoreValuesResults[Team Number],CoreValuesResults[Core Values Rank],NumberOfTeams+1,0,))</f>
        <v>9</v>
      </c>
      <c r="M104" s="28">
        <f>IF(TournamentData[[#This Row],[Team Number]]="","",_xlfn.XLOOKUP(TournamentData[[#This Row],[Team Number]],InnovationProjectResults[Team Number],InnovationProjectResults[Innovation Project Rank],NumberOfTeams+1,0,))</f>
        <v>9</v>
      </c>
      <c r="N104" s="28">
        <f>IF(TournamentData[[#This Row],[Team Number]]="","",_xlfn.XLOOKUP(TournamentData[[#This Row],[Team Number]],RobotDesignResults[Team Number],RobotDesignResults[Engineering Design Rank],NumberOfTeams+1,0,))</f>
        <v>9</v>
      </c>
      <c r="O10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04" s="29">
        <f>IF(TournamentData[[#This Row],[Team Number]]="","",IF(O104,RANK(O104,O$3:O$202,1)-COUNTIF(O$3:O$202,0),NumberOfTeams+1))</f>
        <v>9</v>
      </c>
      <c r="Q104" s="30">
        <f>_xlfn.XLOOKUP(TournamentData[[#This Row],[Team Number]],CoreValuesResults[Team Number],CoreValuesResults[Inspiration Selection],0,0,)</f>
        <v>0</v>
      </c>
      <c r="R104" s="33">
        <f>_xlfn.XLOOKUP(TournamentData[[#This Row],[Team Number]],CoreValuesResults[Team Number],CoreValuesResults[Rising All-Star Selection],0,0,)</f>
        <v>0</v>
      </c>
      <c r="S10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04" s="31"/>
      <c r="U104" s="31"/>
      <c r="V104" s="32"/>
      <c r="W104" s="91">
        <f>_xlfn.XLOOKUP(TournamentData[[#This Row],[Team Number]],CoreValuesResults[Team Number],CoreValuesResults[Core Values Score],0,0,)</f>
        <v>0</v>
      </c>
      <c r="X104" s="91">
        <f>_xlfn.XLOOKUP(TournamentData[[#This Row],[Team Number]],InnovationProjectResults[Team Number],InnovationProjectResults[Innovation Project Score],0,0,)</f>
        <v>0</v>
      </c>
      <c r="Y104" s="91">
        <f>_xlfn.XLOOKUP(TournamentData[[#This Row],[Team Number]],RobotDesignResults[Team Number],RobotDesignResults[Engineering Design Score],0,0,)</f>
        <v>0</v>
      </c>
      <c r="Z10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04" s="93">
        <f t="shared" si="3"/>
        <v>8</v>
      </c>
      <c r="AB104" s="31"/>
    </row>
    <row r="105" spans="1:28" ht="21" customHeight="1" x14ac:dyDescent="0.25">
      <c r="A105">
        <f>_xlfn.XLOOKUP(103,OfficialTeamList[Row],OfficialTeamList[Team Number],"ERROR",0)</f>
        <v>0</v>
      </c>
      <c r="B105" s="27" t="str">
        <f>_xlfn.XLOOKUP(TournamentData[[#This Row],[Team Number]],OfficialTeamList[Team Number],OfficialTeamList[Team Name],"",0,)</f>
        <v/>
      </c>
      <c r="C105" s="28">
        <f>IF(TournamentData[[#This Row],[Team Number]]="","",_xlfn.XLOOKUP(TournamentData[[#This Row],[Team Number]],RobotGameScores[Team Number],RobotGameScores[Match 1 Score],0,0,))</f>
        <v>0</v>
      </c>
      <c r="D105" s="28">
        <f>IF(TournamentData[[#This Row],[Team Number]]="","",_xlfn.XLOOKUP(TournamentData[[#This Row],[Team Number]],RobotGameScores[Team Number],RobotGameScores[Match 2 Score],0,0,))</f>
        <v>0</v>
      </c>
      <c r="E105" s="28">
        <f>IF(TournamentData[[#This Row],[Team Number]]="","",_xlfn.XLOOKUP(TournamentData[[#This Row],[Team Number]],RobotGameScores[Team Number],RobotGameScores[Match 3 Score],0,0,))</f>
        <v>0</v>
      </c>
      <c r="F105" s="28">
        <f>IF(TournamentData[[#This Row],[Team Number]]="","",_xlfn.XLOOKUP(TournamentData[[#This Row],[Team Number]],RobotGameScores[Team Number],RobotGameScores[Match 4 Score],0,0,))</f>
        <v>0</v>
      </c>
      <c r="G105" s="28">
        <f>IF(TournamentData[[#This Row],[Team Number]]="","",_xlfn.XLOOKUP(TournamentData[[#This Row],[Team Number]],RobotGameScores[Team Number],RobotGameScores[Match 5 Score],0,0,))</f>
        <v>0</v>
      </c>
      <c r="H105" s="28" t="str">
        <f>IF(TournamentData[[#This Row],[Team Name]]="","",_xlfn.XLOOKUP(TournamentData[[#This Row],[Team Name]],RobotGameScores[Team Name],RobotGameScores[Match 6 Score],0,0,))</f>
        <v/>
      </c>
      <c r="I105" s="28">
        <v>0</v>
      </c>
      <c r="J105" s="28">
        <f>SUM(TournamentData[[#This Row],[Match Score 1]:[Match Score 6]])/NumberOfRounds</f>
        <v>0</v>
      </c>
      <c r="K105" s="59">
        <f>IF(TournamentData[[#This Row],[Team Number]]="","",1+COUNTIFS($J$3:$J$201,"&gt;"&amp;J105)+COUNTIFS($J$3:$J$201,J105,$I$3:$I$201,"&gt;"&amp;I105))</f>
        <v>9</v>
      </c>
      <c r="L105" s="28">
        <f>IF(TournamentData[[#This Row],[Team Number]]="","",_xlfn.XLOOKUP(TournamentData[[#This Row],[Team Number]],CoreValuesResults[Team Number],CoreValuesResults[Core Values Rank],NumberOfTeams+1,0,))</f>
        <v>9</v>
      </c>
      <c r="M105" s="28">
        <f>IF(TournamentData[[#This Row],[Team Number]]="","",_xlfn.XLOOKUP(TournamentData[[#This Row],[Team Number]],InnovationProjectResults[Team Number],InnovationProjectResults[Innovation Project Rank],NumberOfTeams+1,0,))</f>
        <v>9</v>
      </c>
      <c r="N105" s="28">
        <f>IF(TournamentData[[#This Row],[Team Number]]="","",_xlfn.XLOOKUP(TournamentData[[#This Row],[Team Number]],RobotDesignResults[Team Number],RobotDesignResults[Engineering Design Rank],NumberOfTeams+1,0,))</f>
        <v>9</v>
      </c>
      <c r="O10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05" s="29">
        <f>IF(TournamentData[[#This Row],[Team Number]]="","",IF(O105,RANK(O105,O$3:O$202,1)-COUNTIF(O$3:O$202,0),NumberOfTeams+1))</f>
        <v>9</v>
      </c>
      <c r="Q105" s="30">
        <f>_xlfn.XLOOKUP(TournamentData[[#This Row],[Team Number]],CoreValuesResults[Team Number],CoreValuesResults[Inspiration Selection],0,0,)</f>
        <v>0</v>
      </c>
      <c r="R105" s="33">
        <f>_xlfn.XLOOKUP(TournamentData[[#This Row],[Team Number]],CoreValuesResults[Team Number],CoreValuesResults[Rising All-Star Selection],0,0,)</f>
        <v>0</v>
      </c>
      <c r="S10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05" s="31"/>
      <c r="U105" s="31"/>
      <c r="V105" s="32"/>
      <c r="W105" s="91">
        <f>_xlfn.XLOOKUP(TournamentData[[#This Row],[Team Number]],CoreValuesResults[Team Number],CoreValuesResults[Core Values Score],0,0,)</f>
        <v>0</v>
      </c>
      <c r="X105" s="91">
        <f>_xlfn.XLOOKUP(TournamentData[[#This Row],[Team Number]],InnovationProjectResults[Team Number],InnovationProjectResults[Innovation Project Score],0,0,)</f>
        <v>0</v>
      </c>
      <c r="Y105" s="91">
        <f>_xlfn.XLOOKUP(TournamentData[[#This Row],[Team Number]],RobotDesignResults[Team Number],RobotDesignResults[Engineering Design Score],0,0,)</f>
        <v>0</v>
      </c>
      <c r="Z10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05" s="93">
        <f t="shared" si="3"/>
        <v>8</v>
      </c>
      <c r="AB105" s="31"/>
    </row>
    <row r="106" spans="1:28" ht="21" customHeight="1" x14ac:dyDescent="0.25">
      <c r="A106">
        <f>_xlfn.XLOOKUP(104,OfficialTeamList[Row],OfficialTeamList[Team Number],"ERROR",0)</f>
        <v>0</v>
      </c>
      <c r="B106" s="27" t="str">
        <f>_xlfn.XLOOKUP(TournamentData[[#This Row],[Team Number]],OfficialTeamList[Team Number],OfficialTeamList[Team Name],"",0,)</f>
        <v/>
      </c>
      <c r="C106" s="28">
        <f>IF(TournamentData[[#This Row],[Team Number]]="","",_xlfn.XLOOKUP(TournamentData[[#This Row],[Team Number]],RobotGameScores[Team Number],RobotGameScores[Match 1 Score],0,0,))</f>
        <v>0</v>
      </c>
      <c r="D106" s="28">
        <f>IF(TournamentData[[#This Row],[Team Number]]="","",_xlfn.XLOOKUP(TournamentData[[#This Row],[Team Number]],RobotGameScores[Team Number],RobotGameScores[Match 2 Score],0,0,))</f>
        <v>0</v>
      </c>
      <c r="E106" s="28">
        <f>IF(TournamentData[[#This Row],[Team Number]]="","",_xlfn.XLOOKUP(TournamentData[[#This Row],[Team Number]],RobotGameScores[Team Number],RobotGameScores[Match 3 Score],0,0,))</f>
        <v>0</v>
      </c>
      <c r="F106" s="28">
        <f>IF(TournamentData[[#This Row],[Team Number]]="","",_xlfn.XLOOKUP(TournamentData[[#This Row],[Team Number]],RobotGameScores[Team Number],RobotGameScores[Match 4 Score],0,0,))</f>
        <v>0</v>
      </c>
      <c r="G106" s="28">
        <f>IF(TournamentData[[#This Row],[Team Number]]="","",_xlfn.XLOOKUP(TournamentData[[#This Row],[Team Number]],RobotGameScores[Team Number],RobotGameScores[Match 5 Score],0,0,))</f>
        <v>0</v>
      </c>
      <c r="H106" s="28" t="str">
        <f>IF(TournamentData[[#This Row],[Team Name]]="","",_xlfn.XLOOKUP(TournamentData[[#This Row],[Team Name]],RobotGameScores[Team Name],RobotGameScores[Match 6 Score],0,0,))</f>
        <v/>
      </c>
      <c r="I106" s="28">
        <v>0</v>
      </c>
      <c r="J106" s="28">
        <f>SUM(TournamentData[[#This Row],[Match Score 1]:[Match Score 6]])/NumberOfRounds</f>
        <v>0</v>
      </c>
      <c r="K106" s="60">
        <f>IF(TournamentData[[#This Row],[Team Number]]="","",1+COUNTIFS($J$3:$J$201,"&gt;"&amp;J106)+COUNTIFS($J$3:$J$201,J106,$I$3:$I$201,"&gt;"&amp;I106))</f>
        <v>9</v>
      </c>
      <c r="L106" s="28">
        <f>IF(TournamentData[[#This Row],[Team Number]]="","",_xlfn.XLOOKUP(TournamentData[[#This Row],[Team Number]],CoreValuesResults[Team Number],CoreValuesResults[Core Values Rank],NumberOfTeams+1,0,))</f>
        <v>9</v>
      </c>
      <c r="M106" s="28">
        <f>IF(TournamentData[[#This Row],[Team Number]]="","",_xlfn.XLOOKUP(TournamentData[[#This Row],[Team Number]],InnovationProjectResults[Team Number],InnovationProjectResults[Innovation Project Rank],NumberOfTeams+1,0,))</f>
        <v>9</v>
      </c>
      <c r="N106" s="28">
        <f>IF(TournamentData[[#This Row],[Team Number]]="","",_xlfn.XLOOKUP(TournamentData[[#This Row],[Team Number]],RobotDesignResults[Team Number],RobotDesignResults[Engineering Design Rank],NumberOfTeams+1,0,))</f>
        <v>9</v>
      </c>
      <c r="O10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06" s="29">
        <f>IF(TournamentData[[#This Row],[Team Number]]="","",IF(O106,RANK(O106,O$3:O$202,1)-COUNTIF(O$3:O$202,0),NumberOfTeams+1))</f>
        <v>9</v>
      </c>
      <c r="Q106" s="30">
        <f>_xlfn.XLOOKUP(TournamentData[[#This Row],[Team Number]],CoreValuesResults[Team Number],CoreValuesResults[Inspiration Selection],0,0,)</f>
        <v>0</v>
      </c>
      <c r="R106" s="33">
        <f>_xlfn.XLOOKUP(TournamentData[[#This Row],[Team Number]],CoreValuesResults[Team Number],CoreValuesResults[Rising All-Star Selection],0,0,)</f>
        <v>0</v>
      </c>
      <c r="S10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06" s="31"/>
      <c r="U106" s="31"/>
      <c r="V106" s="32"/>
      <c r="W106" s="91">
        <f>_xlfn.XLOOKUP(TournamentData[[#This Row],[Team Number]],CoreValuesResults[Team Number],CoreValuesResults[Core Values Score],0,0,)</f>
        <v>0</v>
      </c>
      <c r="X106" s="91">
        <f>_xlfn.XLOOKUP(TournamentData[[#This Row],[Team Number]],InnovationProjectResults[Team Number],InnovationProjectResults[Innovation Project Score],0,0,)</f>
        <v>0</v>
      </c>
      <c r="Y106" s="91">
        <f>_xlfn.XLOOKUP(TournamentData[[#This Row],[Team Number]],RobotDesignResults[Team Number],RobotDesignResults[Engineering Design Score],0,0,)</f>
        <v>0</v>
      </c>
      <c r="Z10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06" s="93">
        <f t="shared" si="3"/>
        <v>8</v>
      </c>
      <c r="AB106" s="31"/>
    </row>
    <row r="107" spans="1:28" ht="21" customHeight="1" x14ac:dyDescent="0.25">
      <c r="A107">
        <f>_xlfn.XLOOKUP(105,OfficialTeamList[Row],OfficialTeamList[Team Number],"ERROR",0)</f>
        <v>0</v>
      </c>
      <c r="B107" s="27" t="str">
        <f>_xlfn.XLOOKUP(TournamentData[[#This Row],[Team Number]],OfficialTeamList[Team Number],OfficialTeamList[Team Name],"",0,)</f>
        <v/>
      </c>
      <c r="C107" s="28">
        <f>IF(TournamentData[[#This Row],[Team Number]]="","",_xlfn.XLOOKUP(TournamentData[[#This Row],[Team Number]],RobotGameScores[Team Number],RobotGameScores[Match 1 Score],0,0,))</f>
        <v>0</v>
      </c>
      <c r="D107" s="28">
        <f>IF(TournamentData[[#This Row],[Team Number]]="","",_xlfn.XLOOKUP(TournamentData[[#This Row],[Team Number]],RobotGameScores[Team Number],RobotGameScores[Match 2 Score],0,0,))</f>
        <v>0</v>
      </c>
      <c r="E107" s="28">
        <f>IF(TournamentData[[#This Row],[Team Number]]="","",_xlfn.XLOOKUP(TournamentData[[#This Row],[Team Number]],RobotGameScores[Team Number],RobotGameScores[Match 3 Score],0,0,))</f>
        <v>0</v>
      </c>
      <c r="F107" s="28">
        <f>IF(TournamentData[[#This Row],[Team Number]]="","",_xlfn.XLOOKUP(TournamentData[[#This Row],[Team Number]],RobotGameScores[Team Number],RobotGameScores[Match 4 Score],0,0,))</f>
        <v>0</v>
      </c>
      <c r="G107" s="28">
        <f>IF(TournamentData[[#This Row],[Team Number]]="","",_xlfn.XLOOKUP(TournamentData[[#This Row],[Team Number]],RobotGameScores[Team Number],RobotGameScores[Match 5 Score],0,0,))</f>
        <v>0</v>
      </c>
      <c r="H107" s="28" t="str">
        <f>IF(TournamentData[[#This Row],[Team Name]]="","",_xlfn.XLOOKUP(TournamentData[[#This Row],[Team Name]],RobotGameScores[Team Name],RobotGameScores[Match 6 Score],0,0,))</f>
        <v/>
      </c>
      <c r="I107" s="28">
        <v>0</v>
      </c>
      <c r="J107" s="28">
        <f>SUM(TournamentData[[#This Row],[Match Score 1]:[Match Score 6]])/NumberOfRounds</f>
        <v>0</v>
      </c>
      <c r="K107" s="59">
        <f>IF(TournamentData[[#This Row],[Team Number]]="","",1+COUNTIFS($J$3:$J$201,"&gt;"&amp;J107)+COUNTIFS($J$3:$J$201,J107,$I$3:$I$201,"&gt;"&amp;I107))</f>
        <v>9</v>
      </c>
      <c r="L107" s="28">
        <f>IF(TournamentData[[#This Row],[Team Number]]="","",_xlfn.XLOOKUP(TournamentData[[#This Row],[Team Number]],CoreValuesResults[Team Number],CoreValuesResults[Core Values Rank],NumberOfTeams+1,0,))</f>
        <v>9</v>
      </c>
      <c r="M107" s="28">
        <f>IF(TournamentData[[#This Row],[Team Number]]="","",_xlfn.XLOOKUP(TournamentData[[#This Row],[Team Number]],InnovationProjectResults[Team Number],InnovationProjectResults[Innovation Project Rank],NumberOfTeams+1,0,))</f>
        <v>9</v>
      </c>
      <c r="N107" s="28">
        <f>IF(TournamentData[[#This Row],[Team Number]]="","",_xlfn.XLOOKUP(TournamentData[[#This Row],[Team Number]],RobotDesignResults[Team Number],RobotDesignResults[Engineering Design Rank],NumberOfTeams+1,0,))</f>
        <v>9</v>
      </c>
      <c r="O10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07" s="29">
        <f>IF(TournamentData[[#This Row],[Team Number]]="","",IF(O107,RANK(O107,O$3:O$202,1)-COUNTIF(O$3:O$202,0),NumberOfTeams+1))</f>
        <v>9</v>
      </c>
      <c r="Q107" s="30">
        <f>_xlfn.XLOOKUP(TournamentData[[#This Row],[Team Number]],CoreValuesResults[Team Number],CoreValuesResults[Inspiration Selection],0,0,)</f>
        <v>0</v>
      </c>
      <c r="R107" s="33">
        <f>_xlfn.XLOOKUP(TournamentData[[#This Row],[Team Number]],CoreValuesResults[Team Number],CoreValuesResults[Rising All-Star Selection],0,0,)</f>
        <v>0</v>
      </c>
      <c r="S10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07" s="31"/>
      <c r="U107" s="31"/>
      <c r="V107" s="32"/>
      <c r="W107" s="91">
        <f>_xlfn.XLOOKUP(TournamentData[[#This Row],[Team Number]],CoreValuesResults[Team Number],CoreValuesResults[Core Values Score],0,0,)</f>
        <v>0</v>
      </c>
      <c r="X107" s="91">
        <f>_xlfn.XLOOKUP(TournamentData[[#This Row],[Team Number]],InnovationProjectResults[Team Number],InnovationProjectResults[Innovation Project Score],0,0,)</f>
        <v>0</v>
      </c>
      <c r="Y107" s="91">
        <f>_xlfn.XLOOKUP(TournamentData[[#This Row],[Team Number]],RobotDesignResults[Team Number],RobotDesignResults[Engineering Design Score],0,0,)</f>
        <v>0</v>
      </c>
      <c r="Z10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07" s="93">
        <f t="shared" si="3"/>
        <v>8</v>
      </c>
      <c r="AB107" s="31"/>
    </row>
    <row r="108" spans="1:28" ht="21" customHeight="1" x14ac:dyDescent="0.25">
      <c r="A108">
        <f>_xlfn.XLOOKUP(106,OfficialTeamList[Row],OfficialTeamList[Team Number],"ERROR",0)</f>
        <v>0</v>
      </c>
      <c r="B108" s="27" t="str">
        <f>_xlfn.XLOOKUP(TournamentData[[#This Row],[Team Number]],OfficialTeamList[Team Number],OfficialTeamList[Team Name],"",0,)</f>
        <v/>
      </c>
      <c r="C108" s="28">
        <f>IF(TournamentData[[#This Row],[Team Number]]="","",_xlfn.XLOOKUP(TournamentData[[#This Row],[Team Number]],RobotGameScores[Team Number],RobotGameScores[Match 1 Score],0,0,))</f>
        <v>0</v>
      </c>
      <c r="D108" s="28">
        <f>IF(TournamentData[[#This Row],[Team Number]]="","",_xlfn.XLOOKUP(TournamentData[[#This Row],[Team Number]],RobotGameScores[Team Number],RobotGameScores[Match 2 Score],0,0,))</f>
        <v>0</v>
      </c>
      <c r="E108" s="28">
        <f>IF(TournamentData[[#This Row],[Team Number]]="","",_xlfn.XLOOKUP(TournamentData[[#This Row],[Team Number]],RobotGameScores[Team Number],RobotGameScores[Match 3 Score],0,0,))</f>
        <v>0</v>
      </c>
      <c r="F108" s="28">
        <f>IF(TournamentData[[#This Row],[Team Number]]="","",_xlfn.XLOOKUP(TournamentData[[#This Row],[Team Number]],RobotGameScores[Team Number],RobotGameScores[Match 4 Score],0,0,))</f>
        <v>0</v>
      </c>
      <c r="G108" s="28">
        <f>IF(TournamentData[[#This Row],[Team Number]]="","",_xlfn.XLOOKUP(TournamentData[[#This Row],[Team Number]],RobotGameScores[Team Number],RobotGameScores[Match 5 Score],0,0,))</f>
        <v>0</v>
      </c>
      <c r="H108" s="28" t="str">
        <f>IF(TournamentData[[#This Row],[Team Name]]="","",_xlfn.XLOOKUP(TournamentData[[#This Row],[Team Name]],RobotGameScores[Team Name],RobotGameScores[Match 6 Score],0,0,))</f>
        <v/>
      </c>
      <c r="I108" s="28">
        <v>0</v>
      </c>
      <c r="J108" s="28">
        <f>SUM(TournamentData[[#This Row],[Match Score 1]:[Match Score 6]])/NumberOfRounds</f>
        <v>0</v>
      </c>
      <c r="K108" s="60">
        <f>IF(TournamentData[[#This Row],[Team Number]]="","",1+COUNTIFS($J$3:$J$201,"&gt;"&amp;J108)+COUNTIFS($J$3:$J$201,J108,$I$3:$I$201,"&gt;"&amp;I108))</f>
        <v>9</v>
      </c>
      <c r="L108" s="28">
        <f>IF(TournamentData[[#This Row],[Team Number]]="","",_xlfn.XLOOKUP(TournamentData[[#This Row],[Team Number]],CoreValuesResults[Team Number],CoreValuesResults[Core Values Rank],NumberOfTeams+1,0,))</f>
        <v>9</v>
      </c>
      <c r="M108" s="28">
        <f>IF(TournamentData[[#This Row],[Team Number]]="","",_xlfn.XLOOKUP(TournamentData[[#This Row],[Team Number]],InnovationProjectResults[Team Number],InnovationProjectResults[Innovation Project Rank],NumberOfTeams+1,0,))</f>
        <v>9</v>
      </c>
      <c r="N108" s="28">
        <f>IF(TournamentData[[#This Row],[Team Number]]="","",_xlfn.XLOOKUP(TournamentData[[#This Row],[Team Number]],RobotDesignResults[Team Number],RobotDesignResults[Engineering Design Rank],NumberOfTeams+1,0,))</f>
        <v>9</v>
      </c>
      <c r="O10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08" s="29">
        <f>IF(TournamentData[[#This Row],[Team Number]]="","",IF(O108,RANK(O108,O$3:O$202,1)-COUNTIF(O$3:O$202,0),NumberOfTeams+1))</f>
        <v>9</v>
      </c>
      <c r="Q108" s="30">
        <f>_xlfn.XLOOKUP(TournamentData[[#This Row],[Team Number]],CoreValuesResults[Team Number],CoreValuesResults[Inspiration Selection],0,0,)</f>
        <v>0</v>
      </c>
      <c r="R108" s="33">
        <f>_xlfn.XLOOKUP(TournamentData[[#This Row],[Team Number]],CoreValuesResults[Team Number],CoreValuesResults[Rising All-Star Selection],0,0,)</f>
        <v>0</v>
      </c>
      <c r="S10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08" s="31"/>
      <c r="U108" s="31"/>
      <c r="V108" s="32"/>
      <c r="W108" s="91">
        <f>_xlfn.XLOOKUP(TournamentData[[#This Row],[Team Number]],CoreValuesResults[Team Number],CoreValuesResults[Core Values Score],0,0,)</f>
        <v>0</v>
      </c>
      <c r="X108" s="91">
        <f>_xlfn.XLOOKUP(TournamentData[[#This Row],[Team Number]],InnovationProjectResults[Team Number],InnovationProjectResults[Innovation Project Score],0,0,)</f>
        <v>0</v>
      </c>
      <c r="Y108" s="91">
        <f>_xlfn.XLOOKUP(TournamentData[[#This Row],[Team Number]],RobotDesignResults[Team Number],RobotDesignResults[Engineering Design Score],0,0,)</f>
        <v>0</v>
      </c>
      <c r="Z10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08" s="93">
        <f t="shared" si="3"/>
        <v>8</v>
      </c>
      <c r="AB108" s="31"/>
    </row>
    <row r="109" spans="1:28" ht="21" customHeight="1" x14ac:dyDescent="0.25">
      <c r="A109">
        <f>_xlfn.XLOOKUP(107,OfficialTeamList[Row],OfficialTeamList[Team Number],"ERROR",0)</f>
        <v>0</v>
      </c>
      <c r="B109" s="27" t="str">
        <f>_xlfn.XLOOKUP(TournamentData[[#This Row],[Team Number]],OfficialTeamList[Team Number],OfficialTeamList[Team Name],"",0,)</f>
        <v/>
      </c>
      <c r="C109" s="28">
        <f>IF(TournamentData[[#This Row],[Team Number]]="","",_xlfn.XLOOKUP(TournamentData[[#This Row],[Team Number]],RobotGameScores[Team Number],RobotGameScores[Match 1 Score],0,0,))</f>
        <v>0</v>
      </c>
      <c r="D109" s="28">
        <f>IF(TournamentData[[#This Row],[Team Number]]="","",_xlfn.XLOOKUP(TournamentData[[#This Row],[Team Number]],RobotGameScores[Team Number],RobotGameScores[Match 2 Score],0,0,))</f>
        <v>0</v>
      </c>
      <c r="E109" s="28">
        <f>IF(TournamentData[[#This Row],[Team Number]]="","",_xlfn.XLOOKUP(TournamentData[[#This Row],[Team Number]],RobotGameScores[Team Number],RobotGameScores[Match 3 Score],0,0,))</f>
        <v>0</v>
      </c>
      <c r="F109" s="28">
        <f>IF(TournamentData[[#This Row],[Team Number]]="","",_xlfn.XLOOKUP(TournamentData[[#This Row],[Team Number]],RobotGameScores[Team Number],RobotGameScores[Match 4 Score],0,0,))</f>
        <v>0</v>
      </c>
      <c r="G109" s="28">
        <f>IF(TournamentData[[#This Row],[Team Number]]="","",_xlfn.XLOOKUP(TournamentData[[#This Row],[Team Number]],RobotGameScores[Team Number],RobotGameScores[Match 5 Score],0,0,))</f>
        <v>0</v>
      </c>
      <c r="H109" s="28" t="str">
        <f>IF(TournamentData[[#This Row],[Team Name]]="","",_xlfn.XLOOKUP(TournamentData[[#This Row],[Team Name]],RobotGameScores[Team Name],RobotGameScores[Match 6 Score],0,0,))</f>
        <v/>
      </c>
      <c r="I109" s="28">
        <v>0</v>
      </c>
      <c r="J109" s="28">
        <f>SUM(TournamentData[[#This Row],[Match Score 1]:[Match Score 6]])/NumberOfRounds</f>
        <v>0</v>
      </c>
      <c r="K109" s="59">
        <f>IF(TournamentData[[#This Row],[Team Number]]="","",1+COUNTIFS($J$3:$J$201,"&gt;"&amp;J109)+COUNTIFS($J$3:$J$201,J109,$I$3:$I$201,"&gt;"&amp;I109))</f>
        <v>9</v>
      </c>
      <c r="L109" s="28">
        <f>IF(TournamentData[[#This Row],[Team Number]]="","",_xlfn.XLOOKUP(TournamentData[[#This Row],[Team Number]],CoreValuesResults[Team Number],CoreValuesResults[Core Values Rank],NumberOfTeams+1,0,))</f>
        <v>9</v>
      </c>
      <c r="M109" s="28">
        <f>IF(TournamentData[[#This Row],[Team Number]]="","",_xlfn.XLOOKUP(TournamentData[[#This Row],[Team Number]],InnovationProjectResults[Team Number],InnovationProjectResults[Innovation Project Rank],NumberOfTeams+1,0,))</f>
        <v>9</v>
      </c>
      <c r="N109" s="28">
        <f>IF(TournamentData[[#This Row],[Team Number]]="","",_xlfn.XLOOKUP(TournamentData[[#This Row],[Team Number]],RobotDesignResults[Team Number],RobotDesignResults[Engineering Design Rank],NumberOfTeams+1,0,))</f>
        <v>9</v>
      </c>
      <c r="O10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09" s="29">
        <f>IF(TournamentData[[#This Row],[Team Number]]="","",IF(O109,RANK(O109,O$3:O$202,1)-COUNTIF(O$3:O$202,0),NumberOfTeams+1))</f>
        <v>9</v>
      </c>
      <c r="Q109" s="30">
        <f>_xlfn.XLOOKUP(TournamentData[[#This Row],[Team Number]],CoreValuesResults[Team Number],CoreValuesResults[Inspiration Selection],0,0,)</f>
        <v>0</v>
      </c>
      <c r="R109" s="33">
        <f>_xlfn.XLOOKUP(TournamentData[[#This Row],[Team Number]],CoreValuesResults[Team Number],CoreValuesResults[Rising All-Star Selection],0,0,)</f>
        <v>0</v>
      </c>
      <c r="S10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09" s="31"/>
      <c r="U109" s="31"/>
      <c r="V109" s="32"/>
      <c r="W109" s="91">
        <f>_xlfn.XLOOKUP(TournamentData[[#This Row],[Team Number]],CoreValuesResults[Team Number],CoreValuesResults[Core Values Score],0,0,)</f>
        <v>0</v>
      </c>
      <c r="X109" s="91">
        <f>_xlfn.XLOOKUP(TournamentData[[#This Row],[Team Number]],InnovationProjectResults[Team Number],InnovationProjectResults[Innovation Project Score],0,0,)</f>
        <v>0</v>
      </c>
      <c r="Y109" s="91">
        <f>_xlfn.XLOOKUP(TournamentData[[#This Row],[Team Number]],RobotDesignResults[Team Number],RobotDesignResults[Engineering Design Score],0,0,)</f>
        <v>0</v>
      </c>
      <c r="Z10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09" s="93">
        <f t="shared" si="3"/>
        <v>8</v>
      </c>
      <c r="AB109" s="31"/>
    </row>
    <row r="110" spans="1:28" ht="21" customHeight="1" x14ac:dyDescent="0.25">
      <c r="A110">
        <f>_xlfn.XLOOKUP(108,OfficialTeamList[Row],OfficialTeamList[Team Number],"ERROR",0)</f>
        <v>0</v>
      </c>
      <c r="B110" s="27" t="str">
        <f>_xlfn.XLOOKUP(TournamentData[[#This Row],[Team Number]],OfficialTeamList[Team Number],OfficialTeamList[Team Name],"",0,)</f>
        <v/>
      </c>
      <c r="C110" s="28">
        <f>IF(TournamentData[[#This Row],[Team Number]]="","",_xlfn.XLOOKUP(TournamentData[[#This Row],[Team Number]],RobotGameScores[Team Number],RobotGameScores[Match 1 Score],0,0,))</f>
        <v>0</v>
      </c>
      <c r="D110" s="28">
        <f>IF(TournamentData[[#This Row],[Team Number]]="","",_xlfn.XLOOKUP(TournamentData[[#This Row],[Team Number]],RobotGameScores[Team Number],RobotGameScores[Match 2 Score],0,0,))</f>
        <v>0</v>
      </c>
      <c r="E110" s="28">
        <f>IF(TournamentData[[#This Row],[Team Number]]="","",_xlfn.XLOOKUP(TournamentData[[#This Row],[Team Number]],RobotGameScores[Team Number],RobotGameScores[Match 3 Score],0,0,))</f>
        <v>0</v>
      </c>
      <c r="F110" s="28">
        <f>IF(TournamentData[[#This Row],[Team Number]]="","",_xlfn.XLOOKUP(TournamentData[[#This Row],[Team Number]],RobotGameScores[Team Number],RobotGameScores[Match 4 Score],0,0,))</f>
        <v>0</v>
      </c>
      <c r="G110" s="28">
        <f>IF(TournamentData[[#This Row],[Team Number]]="","",_xlfn.XLOOKUP(TournamentData[[#This Row],[Team Number]],RobotGameScores[Team Number],RobotGameScores[Match 5 Score],0,0,))</f>
        <v>0</v>
      </c>
      <c r="H110" s="28" t="str">
        <f>IF(TournamentData[[#This Row],[Team Name]]="","",_xlfn.XLOOKUP(TournamentData[[#This Row],[Team Name]],RobotGameScores[Team Name],RobotGameScores[Match 6 Score],0,0,))</f>
        <v/>
      </c>
      <c r="I110" s="28">
        <v>0</v>
      </c>
      <c r="J110" s="28">
        <f>SUM(TournamentData[[#This Row],[Match Score 1]:[Match Score 6]])/NumberOfRounds</f>
        <v>0</v>
      </c>
      <c r="K110" s="60">
        <f>IF(TournamentData[[#This Row],[Team Number]]="","",1+COUNTIFS($J$3:$J$201,"&gt;"&amp;J110)+COUNTIFS($J$3:$J$201,J110,$I$3:$I$201,"&gt;"&amp;I110))</f>
        <v>9</v>
      </c>
      <c r="L110" s="28">
        <f>IF(TournamentData[[#This Row],[Team Number]]="","",_xlfn.XLOOKUP(TournamentData[[#This Row],[Team Number]],CoreValuesResults[Team Number],CoreValuesResults[Core Values Rank],NumberOfTeams+1,0,))</f>
        <v>9</v>
      </c>
      <c r="M110" s="28">
        <f>IF(TournamentData[[#This Row],[Team Number]]="","",_xlfn.XLOOKUP(TournamentData[[#This Row],[Team Number]],InnovationProjectResults[Team Number],InnovationProjectResults[Innovation Project Rank],NumberOfTeams+1,0,))</f>
        <v>9</v>
      </c>
      <c r="N110" s="28">
        <f>IF(TournamentData[[#This Row],[Team Number]]="","",_xlfn.XLOOKUP(TournamentData[[#This Row],[Team Number]],RobotDesignResults[Team Number],RobotDesignResults[Engineering Design Rank],NumberOfTeams+1,0,))</f>
        <v>9</v>
      </c>
      <c r="O11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10" s="29">
        <f>IF(TournamentData[[#This Row],[Team Number]]="","",IF(O110,RANK(O110,O$3:O$202,1)-COUNTIF(O$3:O$202,0),NumberOfTeams+1))</f>
        <v>9</v>
      </c>
      <c r="Q110" s="30">
        <f>_xlfn.XLOOKUP(TournamentData[[#This Row],[Team Number]],CoreValuesResults[Team Number],CoreValuesResults[Inspiration Selection],0,0,)</f>
        <v>0</v>
      </c>
      <c r="R110" s="33">
        <f>_xlfn.XLOOKUP(TournamentData[[#This Row],[Team Number]],CoreValuesResults[Team Number],CoreValuesResults[Rising All-Star Selection],0,0,)</f>
        <v>0</v>
      </c>
      <c r="S11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10" s="31"/>
      <c r="U110" s="31"/>
      <c r="V110" s="32"/>
      <c r="W110" s="91">
        <f>_xlfn.XLOOKUP(TournamentData[[#This Row],[Team Number]],CoreValuesResults[Team Number],CoreValuesResults[Core Values Score],0,0,)</f>
        <v>0</v>
      </c>
      <c r="X110" s="91">
        <f>_xlfn.XLOOKUP(TournamentData[[#This Row],[Team Number]],InnovationProjectResults[Team Number],InnovationProjectResults[Innovation Project Score],0,0,)</f>
        <v>0</v>
      </c>
      <c r="Y110" s="91">
        <f>_xlfn.XLOOKUP(TournamentData[[#This Row],[Team Number]],RobotDesignResults[Team Number],RobotDesignResults[Engineering Design Score],0,0,)</f>
        <v>0</v>
      </c>
      <c r="Z11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10" s="93">
        <f t="shared" si="3"/>
        <v>8</v>
      </c>
      <c r="AB110" s="31"/>
    </row>
    <row r="111" spans="1:28" ht="21" customHeight="1" x14ac:dyDescent="0.25">
      <c r="A111">
        <f>_xlfn.XLOOKUP(109,OfficialTeamList[Row],OfficialTeamList[Team Number],"ERROR",0)</f>
        <v>0</v>
      </c>
      <c r="B111" s="27" t="str">
        <f>_xlfn.XLOOKUP(TournamentData[[#This Row],[Team Number]],OfficialTeamList[Team Number],OfficialTeamList[Team Name],"",0,)</f>
        <v/>
      </c>
      <c r="C111" s="28">
        <f>IF(TournamentData[[#This Row],[Team Number]]="","",_xlfn.XLOOKUP(TournamentData[[#This Row],[Team Number]],RobotGameScores[Team Number],RobotGameScores[Match 1 Score],0,0,))</f>
        <v>0</v>
      </c>
      <c r="D111" s="28">
        <f>IF(TournamentData[[#This Row],[Team Number]]="","",_xlfn.XLOOKUP(TournamentData[[#This Row],[Team Number]],RobotGameScores[Team Number],RobotGameScores[Match 2 Score],0,0,))</f>
        <v>0</v>
      </c>
      <c r="E111" s="28">
        <f>IF(TournamentData[[#This Row],[Team Number]]="","",_xlfn.XLOOKUP(TournamentData[[#This Row],[Team Number]],RobotGameScores[Team Number],RobotGameScores[Match 3 Score],0,0,))</f>
        <v>0</v>
      </c>
      <c r="F111" s="28">
        <f>IF(TournamentData[[#This Row],[Team Number]]="","",_xlfn.XLOOKUP(TournamentData[[#This Row],[Team Number]],RobotGameScores[Team Number],RobotGameScores[Match 4 Score],0,0,))</f>
        <v>0</v>
      </c>
      <c r="G111" s="28">
        <f>IF(TournamentData[[#This Row],[Team Number]]="","",_xlfn.XLOOKUP(TournamentData[[#This Row],[Team Number]],RobotGameScores[Team Number],RobotGameScores[Match 5 Score],0,0,))</f>
        <v>0</v>
      </c>
      <c r="H111" s="28" t="str">
        <f>IF(TournamentData[[#This Row],[Team Name]]="","",_xlfn.XLOOKUP(TournamentData[[#This Row],[Team Name]],RobotGameScores[Team Name],RobotGameScores[Match 6 Score],0,0,))</f>
        <v/>
      </c>
      <c r="I111" s="28">
        <v>0</v>
      </c>
      <c r="J111" s="28">
        <f>SUM(TournamentData[[#This Row],[Match Score 1]:[Match Score 6]])/NumberOfRounds</f>
        <v>0</v>
      </c>
      <c r="K111" s="59">
        <f>IF(TournamentData[[#This Row],[Team Number]]="","",1+COUNTIFS($J$3:$J$201,"&gt;"&amp;J111)+COUNTIFS($J$3:$J$201,J111,$I$3:$I$201,"&gt;"&amp;I111))</f>
        <v>9</v>
      </c>
      <c r="L111" s="28">
        <f>IF(TournamentData[[#This Row],[Team Number]]="","",_xlfn.XLOOKUP(TournamentData[[#This Row],[Team Number]],CoreValuesResults[Team Number],CoreValuesResults[Core Values Rank],NumberOfTeams+1,0,))</f>
        <v>9</v>
      </c>
      <c r="M111" s="28">
        <f>IF(TournamentData[[#This Row],[Team Number]]="","",_xlfn.XLOOKUP(TournamentData[[#This Row],[Team Number]],InnovationProjectResults[Team Number],InnovationProjectResults[Innovation Project Rank],NumberOfTeams+1,0,))</f>
        <v>9</v>
      </c>
      <c r="N111" s="28">
        <f>IF(TournamentData[[#This Row],[Team Number]]="","",_xlfn.XLOOKUP(TournamentData[[#This Row],[Team Number]],RobotDesignResults[Team Number],RobotDesignResults[Engineering Design Rank],NumberOfTeams+1,0,))</f>
        <v>9</v>
      </c>
      <c r="O11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11" s="29">
        <f>IF(TournamentData[[#This Row],[Team Number]]="","",IF(O111,RANK(O111,O$3:O$202,1)-COUNTIF(O$3:O$202,0),NumberOfTeams+1))</f>
        <v>9</v>
      </c>
      <c r="Q111" s="30">
        <f>_xlfn.XLOOKUP(TournamentData[[#This Row],[Team Number]],CoreValuesResults[Team Number],CoreValuesResults[Inspiration Selection],0,0,)</f>
        <v>0</v>
      </c>
      <c r="R111" s="33">
        <f>_xlfn.XLOOKUP(TournamentData[[#This Row],[Team Number]],CoreValuesResults[Team Number],CoreValuesResults[Rising All-Star Selection],0,0,)</f>
        <v>0</v>
      </c>
      <c r="S11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11" s="31"/>
      <c r="U111" s="31"/>
      <c r="V111" s="32"/>
      <c r="W111" s="91">
        <f>_xlfn.XLOOKUP(TournamentData[[#This Row],[Team Number]],CoreValuesResults[Team Number],CoreValuesResults[Core Values Score],0,0,)</f>
        <v>0</v>
      </c>
      <c r="X111" s="91">
        <f>_xlfn.XLOOKUP(TournamentData[[#This Row],[Team Number]],InnovationProjectResults[Team Number],InnovationProjectResults[Innovation Project Score],0,0,)</f>
        <v>0</v>
      </c>
      <c r="Y111" s="91">
        <f>_xlfn.XLOOKUP(TournamentData[[#This Row],[Team Number]],RobotDesignResults[Team Number],RobotDesignResults[Engineering Design Score],0,0,)</f>
        <v>0</v>
      </c>
      <c r="Z11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11" s="31">
        <f t="shared" si="3"/>
        <v>8</v>
      </c>
      <c r="AB111" s="31"/>
    </row>
    <row r="112" spans="1:28" ht="21" customHeight="1" x14ac:dyDescent="0.25">
      <c r="A112">
        <f>_xlfn.XLOOKUP(110,OfficialTeamList[Row],OfficialTeamList[Team Number],"ERROR",0)</f>
        <v>0</v>
      </c>
      <c r="B112" s="27" t="str">
        <f>_xlfn.XLOOKUP(TournamentData[[#This Row],[Team Number]],OfficialTeamList[Team Number],OfficialTeamList[Team Name],"",0,)</f>
        <v/>
      </c>
      <c r="C112" s="28">
        <f>IF(TournamentData[[#This Row],[Team Number]]="","",_xlfn.XLOOKUP(TournamentData[[#This Row],[Team Number]],RobotGameScores[Team Number],RobotGameScores[Match 1 Score],0,0,))</f>
        <v>0</v>
      </c>
      <c r="D112" s="28">
        <f>IF(TournamentData[[#This Row],[Team Number]]="","",_xlfn.XLOOKUP(TournamentData[[#This Row],[Team Number]],RobotGameScores[Team Number],RobotGameScores[Match 2 Score],0,0,))</f>
        <v>0</v>
      </c>
      <c r="E112" s="28">
        <f>IF(TournamentData[[#This Row],[Team Number]]="","",_xlfn.XLOOKUP(TournamentData[[#This Row],[Team Number]],RobotGameScores[Team Number],RobotGameScores[Match 3 Score],0,0,))</f>
        <v>0</v>
      </c>
      <c r="F112" s="28">
        <f>IF(TournamentData[[#This Row],[Team Number]]="","",_xlfn.XLOOKUP(TournamentData[[#This Row],[Team Number]],RobotGameScores[Team Number],RobotGameScores[Match 4 Score],0,0,))</f>
        <v>0</v>
      </c>
      <c r="G112" s="28">
        <f>IF(TournamentData[[#This Row],[Team Number]]="","",_xlfn.XLOOKUP(TournamentData[[#This Row],[Team Number]],RobotGameScores[Team Number],RobotGameScores[Match 5 Score],0,0,))</f>
        <v>0</v>
      </c>
      <c r="H112" s="28" t="str">
        <f>IF(TournamentData[[#This Row],[Team Name]]="","",_xlfn.XLOOKUP(TournamentData[[#This Row],[Team Name]],RobotGameScores[Team Name],RobotGameScores[Match 6 Score],0,0,))</f>
        <v/>
      </c>
      <c r="I112" s="28">
        <v>0</v>
      </c>
      <c r="J112" s="28">
        <f>SUM(TournamentData[[#This Row],[Match Score 1]:[Match Score 6]])/NumberOfRounds</f>
        <v>0</v>
      </c>
      <c r="K112" s="60">
        <f>IF(TournamentData[[#This Row],[Team Number]]="","",1+COUNTIFS($J$3:$J$201,"&gt;"&amp;J112)+COUNTIFS($J$3:$J$201,J112,$I$3:$I$201,"&gt;"&amp;I112))</f>
        <v>9</v>
      </c>
      <c r="L112" s="28">
        <f>IF(TournamentData[[#This Row],[Team Number]]="","",_xlfn.XLOOKUP(TournamentData[[#This Row],[Team Number]],CoreValuesResults[Team Number],CoreValuesResults[Core Values Rank],NumberOfTeams+1,0,))</f>
        <v>9</v>
      </c>
      <c r="M112" s="28">
        <f>IF(TournamentData[[#This Row],[Team Number]]="","",_xlfn.XLOOKUP(TournamentData[[#This Row],[Team Number]],InnovationProjectResults[Team Number],InnovationProjectResults[Innovation Project Rank],NumberOfTeams+1,0,))</f>
        <v>9</v>
      </c>
      <c r="N112" s="28">
        <f>IF(TournamentData[[#This Row],[Team Number]]="","",_xlfn.XLOOKUP(TournamentData[[#This Row],[Team Number]],RobotDesignResults[Team Number],RobotDesignResults[Engineering Design Rank],NumberOfTeams+1,0,))</f>
        <v>9</v>
      </c>
      <c r="O11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12" s="29">
        <f>IF(TournamentData[[#This Row],[Team Number]]="","",IF(O112,RANK(O112,O$3:O$202,1)-COUNTIF(O$3:O$202,0),NumberOfTeams+1))</f>
        <v>9</v>
      </c>
      <c r="Q112" s="30">
        <f>_xlfn.XLOOKUP(TournamentData[[#This Row],[Team Number]],CoreValuesResults[Team Number],CoreValuesResults[Inspiration Selection],0,0,)</f>
        <v>0</v>
      </c>
      <c r="R112" s="33">
        <f>_xlfn.XLOOKUP(TournamentData[[#This Row],[Team Number]],CoreValuesResults[Team Number],CoreValuesResults[Rising All-Star Selection],0,0,)</f>
        <v>0</v>
      </c>
      <c r="S11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12" s="31"/>
      <c r="U112" s="31"/>
      <c r="V112" s="32"/>
      <c r="W112" s="91">
        <f>_xlfn.XLOOKUP(TournamentData[[#This Row],[Team Number]],CoreValuesResults[Team Number],CoreValuesResults[Core Values Score],0,0,)</f>
        <v>0</v>
      </c>
      <c r="X112" s="91">
        <f>_xlfn.XLOOKUP(TournamentData[[#This Row],[Team Number]],InnovationProjectResults[Team Number],InnovationProjectResults[Innovation Project Score],0,0,)</f>
        <v>0</v>
      </c>
      <c r="Y112" s="91">
        <f>_xlfn.XLOOKUP(TournamentData[[#This Row],[Team Number]],RobotDesignResults[Team Number],RobotDesignResults[Engineering Design Score],0,0,)</f>
        <v>0</v>
      </c>
      <c r="Z11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12" s="31">
        <f t="shared" si="3"/>
        <v>8</v>
      </c>
      <c r="AB112" s="31"/>
    </row>
    <row r="113" spans="1:28" ht="21" customHeight="1" x14ac:dyDescent="0.25">
      <c r="A113">
        <f>_xlfn.XLOOKUP(111,OfficialTeamList[Row],OfficialTeamList[Team Number],"ERROR",0)</f>
        <v>0</v>
      </c>
      <c r="B113" s="27" t="str">
        <f>_xlfn.XLOOKUP(TournamentData[[#This Row],[Team Number]],OfficialTeamList[Team Number],OfficialTeamList[Team Name],"",0,)</f>
        <v/>
      </c>
      <c r="C113" s="28">
        <f>IF(TournamentData[[#This Row],[Team Number]]="","",_xlfn.XLOOKUP(TournamentData[[#This Row],[Team Number]],RobotGameScores[Team Number],RobotGameScores[Match 1 Score],0,0,))</f>
        <v>0</v>
      </c>
      <c r="D113" s="28">
        <f>IF(TournamentData[[#This Row],[Team Number]]="","",_xlfn.XLOOKUP(TournamentData[[#This Row],[Team Number]],RobotGameScores[Team Number],RobotGameScores[Match 2 Score],0,0,))</f>
        <v>0</v>
      </c>
      <c r="E113" s="28">
        <f>IF(TournamentData[[#This Row],[Team Number]]="","",_xlfn.XLOOKUP(TournamentData[[#This Row],[Team Number]],RobotGameScores[Team Number],RobotGameScores[Match 3 Score],0,0,))</f>
        <v>0</v>
      </c>
      <c r="F113" s="28">
        <f>IF(TournamentData[[#This Row],[Team Number]]="","",_xlfn.XLOOKUP(TournamentData[[#This Row],[Team Number]],RobotGameScores[Team Number],RobotGameScores[Match 4 Score],0,0,))</f>
        <v>0</v>
      </c>
      <c r="G113" s="28">
        <f>IF(TournamentData[[#This Row],[Team Number]]="","",_xlfn.XLOOKUP(TournamentData[[#This Row],[Team Number]],RobotGameScores[Team Number],RobotGameScores[Match 5 Score],0,0,))</f>
        <v>0</v>
      </c>
      <c r="H113" s="28" t="str">
        <f>IF(TournamentData[[#This Row],[Team Name]]="","",_xlfn.XLOOKUP(TournamentData[[#This Row],[Team Name]],RobotGameScores[Team Name],RobotGameScores[Match 6 Score],0,0,))</f>
        <v/>
      </c>
      <c r="I113" s="28">
        <v>0</v>
      </c>
      <c r="J113" s="28">
        <f>SUM(TournamentData[[#This Row],[Match Score 1]:[Match Score 6]])/NumberOfRounds</f>
        <v>0</v>
      </c>
      <c r="K113" s="59">
        <f>IF(TournamentData[[#This Row],[Team Number]]="","",1+COUNTIFS($J$3:$J$201,"&gt;"&amp;J113)+COUNTIFS($J$3:$J$201,J113,$I$3:$I$201,"&gt;"&amp;I113))</f>
        <v>9</v>
      </c>
      <c r="L113" s="28">
        <f>IF(TournamentData[[#This Row],[Team Number]]="","",_xlfn.XLOOKUP(TournamentData[[#This Row],[Team Number]],CoreValuesResults[Team Number],CoreValuesResults[Core Values Rank],NumberOfTeams+1,0,))</f>
        <v>9</v>
      </c>
      <c r="M113" s="28">
        <f>IF(TournamentData[[#This Row],[Team Number]]="","",_xlfn.XLOOKUP(TournamentData[[#This Row],[Team Number]],InnovationProjectResults[Team Number],InnovationProjectResults[Innovation Project Rank],NumberOfTeams+1,0,))</f>
        <v>9</v>
      </c>
      <c r="N113" s="28">
        <f>IF(TournamentData[[#This Row],[Team Number]]="","",_xlfn.XLOOKUP(TournamentData[[#This Row],[Team Number]],RobotDesignResults[Team Number],RobotDesignResults[Engineering Design Rank],NumberOfTeams+1,0,))</f>
        <v>9</v>
      </c>
      <c r="O11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13" s="29">
        <f>IF(TournamentData[[#This Row],[Team Number]]="","",IF(O113,RANK(O113,O$3:O$202,1)-COUNTIF(O$3:O$202,0),NumberOfTeams+1))</f>
        <v>9</v>
      </c>
      <c r="Q113" s="30">
        <f>_xlfn.XLOOKUP(TournamentData[[#This Row],[Team Number]],CoreValuesResults[Team Number],CoreValuesResults[Inspiration Selection],0,0,)</f>
        <v>0</v>
      </c>
      <c r="R113" s="33">
        <f>_xlfn.XLOOKUP(TournamentData[[#This Row],[Team Number]],CoreValuesResults[Team Number],CoreValuesResults[Rising All-Star Selection],0,0,)</f>
        <v>0</v>
      </c>
      <c r="S11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13" s="31"/>
      <c r="U113" s="31"/>
      <c r="V113" s="32"/>
      <c r="W113" s="91">
        <f>_xlfn.XLOOKUP(TournamentData[[#This Row],[Team Number]],CoreValuesResults[Team Number],CoreValuesResults[Core Values Score],0,0,)</f>
        <v>0</v>
      </c>
      <c r="X113" s="91">
        <f>_xlfn.XLOOKUP(TournamentData[[#This Row],[Team Number]],InnovationProjectResults[Team Number],InnovationProjectResults[Innovation Project Score],0,0,)</f>
        <v>0</v>
      </c>
      <c r="Y113" s="91">
        <f>_xlfn.XLOOKUP(TournamentData[[#This Row],[Team Number]],RobotDesignResults[Team Number],RobotDesignResults[Engineering Design Score],0,0,)</f>
        <v>0</v>
      </c>
      <c r="Z11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13" s="31">
        <f t="shared" si="3"/>
        <v>8</v>
      </c>
      <c r="AB113" s="31"/>
    </row>
    <row r="114" spans="1:28" ht="21" customHeight="1" x14ac:dyDescent="0.25">
      <c r="A114">
        <f>_xlfn.XLOOKUP(112,OfficialTeamList[Row],OfficialTeamList[Team Number],"ERROR",0)</f>
        <v>0</v>
      </c>
      <c r="B114" s="27" t="str">
        <f>_xlfn.XLOOKUP(TournamentData[[#This Row],[Team Number]],OfficialTeamList[Team Number],OfficialTeamList[Team Name],"",0,)</f>
        <v/>
      </c>
      <c r="C114" s="28">
        <f>IF(TournamentData[[#This Row],[Team Number]]="","",_xlfn.XLOOKUP(TournamentData[[#This Row],[Team Number]],RobotGameScores[Team Number],RobotGameScores[Match 1 Score],0,0,))</f>
        <v>0</v>
      </c>
      <c r="D114" s="28">
        <f>IF(TournamentData[[#This Row],[Team Number]]="","",_xlfn.XLOOKUP(TournamentData[[#This Row],[Team Number]],RobotGameScores[Team Number],RobotGameScores[Match 2 Score],0,0,))</f>
        <v>0</v>
      </c>
      <c r="E114" s="28">
        <f>IF(TournamentData[[#This Row],[Team Number]]="","",_xlfn.XLOOKUP(TournamentData[[#This Row],[Team Number]],RobotGameScores[Team Number],RobotGameScores[Match 3 Score],0,0,))</f>
        <v>0</v>
      </c>
      <c r="F114" s="28">
        <f>IF(TournamentData[[#This Row],[Team Number]]="","",_xlfn.XLOOKUP(TournamentData[[#This Row],[Team Number]],RobotGameScores[Team Number],RobotGameScores[Match 4 Score],0,0,))</f>
        <v>0</v>
      </c>
      <c r="G114" s="28">
        <f>IF(TournamentData[[#This Row],[Team Number]]="","",_xlfn.XLOOKUP(TournamentData[[#This Row],[Team Number]],RobotGameScores[Team Number],RobotGameScores[Match 5 Score],0,0,))</f>
        <v>0</v>
      </c>
      <c r="H114" s="28" t="str">
        <f>IF(TournamentData[[#This Row],[Team Name]]="","",_xlfn.XLOOKUP(TournamentData[[#This Row],[Team Name]],RobotGameScores[Team Name],RobotGameScores[Match 6 Score],0,0,))</f>
        <v/>
      </c>
      <c r="I114" s="28">
        <v>0</v>
      </c>
      <c r="J114" s="28">
        <f>SUM(TournamentData[[#This Row],[Match Score 1]:[Match Score 6]])/NumberOfRounds</f>
        <v>0</v>
      </c>
      <c r="K114" s="60">
        <f>IF(TournamentData[[#This Row],[Team Number]]="","",1+COUNTIFS($J$3:$J$201,"&gt;"&amp;J114)+COUNTIFS($J$3:$J$201,J114,$I$3:$I$201,"&gt;"&amp;I114))</f>
        <v>9</v>
      </c>
      <c r="L114" s="28">
        <f>IF(TournamentData[[#This Row],[Team Number]]="","",_xlfn.XLOOKUP(TournamentData[[#This Row],[Team Number]],CoreValuesResults[Team Number],CoreValuesResults[Core Values Rank],NumberOfTeams+1,0,))</f>
        <v>9</v>
      </c>
      <c r="M114" s="28">
        <f>IF(TournamentData[[#This Row],[Team Number]]="","",_xlfn.XLOOKUP(TournamentData[[#This Row],[Team Number]],InnovationProjectResults[Team Number],InnovationProjectResults[Innovation Project Rank],NumberOfTeams+1,0,))</f>
        <v>9</v>
      </c>
      <c r="N114" s="28">
        <f>IF(TournamentData[[#This Row],[Team Number]]="","",_xlfn.XLOOKUP(TournamentData[[#This Row],[Team Number]],RobotDesignResults[Team Number],RobotDesignResults[Engineering Design Rank],NumberOfTeams+1,0,))</f>
        <v>9</v>
      </c>
      <c r="O11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14" s="29">
        <f>IF(TournamentData[[#This Row],[Team Number]]="","",IF(O114,RANK(O114,O$3:O$202,1)-COUNTIF(O$3:O$202,0),NumberOfTeams+1))</f>
        <v>9</v>
      </c>
      <c r="Q114" s="30">
        <f>_xlfn.XLOOKUP(TournamentData[[#This Row],[Team Number]],CoreValuesResults[Team Number],CoreValuesResults[Inspiration Selection],0,0,)</f>
        <v>0</v>
      </c>
      <c r="R114" s="33">
        <f>_xlfn.XLOOKUP(TournamentData[[#This Row],[Team Number]],CoreValuesResults[Team Number],CoreValuesResults[Rising All-Star Selection],0,0,)</f>
        <v>0</v>
      </c>
      <c r="S11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14" s="31"/>
      <c r="U114" s="31"/>
      <c r="V114" s="32"/>
      <c r="W114" s="91">
        <f>_xlfn.XLOOKUP(TournamentData[[#This Row],[Team Number]],CoreValuesResults[Team Number],CoreValuesResults[Core Values Score],0,0,)</f>
        <v>0</v>
      </c>
      <c r="X114" s="91">
        <f>_xlfn.XLOOKUP(TournamentData[[#This Row],[Team Number]],InnovationProjectResults[Team Number],InnovationProjectResults[Innovation Project Score],0,0,)</f>
        <v>0</v>
      </c>
      <c r="Y114" s="91">
        <f>_xlfn.XLOOKUP(TournamentData[[#This Row],[Team Number]],RobotDesignResults[Team Number],RobotDesignResults[Engineering Design Score],0,0,)</f>
        <v>0</v>
      </c>
      <c r="Z11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14" s="31">
        <f t="shared" si="3"/>
        <v>8</v>
      </c>
      <c r="AB114" s="31"/>
    </row>
    <row r="115" spans="1:28" ht="21" customHeight="1" x14ac:dyDescent="0.25">
      <c r="A115">
        <f>_xlfn.XLOOKUP(113,OfficialTeamList[Row],OfficialTeamList[Team Number],"ERROR",0)</f>
        <v>0</v>
      </c>
      <c r="B115" s="27" t="str">
        <f>_xlfn.XLOOKUP(TournamentData[[#This Row],[Team Number]],OfficialTeamList[Team Number],OfficialTeamList[Team Name],"",0,)</f>
        <v/>
      </c>
      <c r="C115" s="28">
        <f>IF(TournamentData[[#This Row],[Team Number]]="","",_xlfn.XLOOKUP(TournamentData[[#This Row],[Team Number]],RobotGameScores[Team Number],RobotGameScores[Match 1 Score],0,0,))</f>
        <v>0</v>
      </c>
      <c r="D115" s="28">
        <f>IF(TournamentData[[#This Row],[Team Number]]="","",_xlfn.XLOOKUP(TournamentData[[#This Row],[Team Number]],RobotGameScores[Team Number],RobotGameScores[Match 2 Score],0,0,))</f>
        <v>0</v>
      </c>
      <c r="E115" s="28">
        <f>IF(TournamentData[[#This Row],[Team Number]]="","",_xlfn.XLOOKUP(TournamentData[[#This Row],[Team Number]],RobotGameScores[Team Number],RobotGameScores[Match 3 Score],0,0,))</f>
        <v>0</v>
      </c>
      <c r="F115" s="28">
        <f>IF(TournamentData[[#This Row],[Team Number]]="","",_xlfn.XLOOKUP(TournamentData[[#This Row],[Team Number]],RobotGameScores[Team Number],RobotGameScores[Match 4 Score],0,0,))</f>
        <v>0</v>
      </c>
      <c r="G115" s="28">
        <f>IF(TournamentData[[#This Row],[Team Number]]="","",_xlfn.XLOOKUP(TournamentData[[#This Row],[Team Number]],RobotGameScores[Team Number],RobotGameScores[Match 5 Score],0,0,))</f>
        <v>0</v>
      </c>
      <c r="H115" s="28" t="str">
        <f>IF(TournamentData[[#This Row],[Team Name]]="","",_xlfn.XLOOKUP(TournamentData[[#This Row],[Team Name]],RobotGameScores[Team Name],RobotGameScores[Match 6 Score],0,0,))</f>
        <v/>
      </c>
      <c r="I115" s="28">
        <v>0</v>
      </c>
      <c r="J115" s="28">
        <f>SUM(TournamentData[[#This Row],[Match Score 1]:[Match Score 6]])/NumberOfRounds</f>
        <v>0</v>
      </c>
      <c r="K115" s="59">
        <f>IF(TournamentData[[#This Row],[Team Number]]="","",1+COUNTIFS($J$3:$J$201,"&gt;"&amp;J115)+COUNTIFS($J$3:$J$201,J115,$I$3:$I$201,"&gt;"&amp;I115))</f>
        <v>9</v>
      </c>
      <c r="L115" s="28">
        <f>IF(TournamentData[[#This Row],[Team Number]]="","",_xlfn.XLOOKUP(TournamentData[[#This Row],[Team Number]],CoreValuesResults[Team Number],CoreValuesResults[Core Values Rank],NumberOfTeams+1,0,))</f>
        <v>9</v>
      </c>
      <c r="M115" s="28">
        <f>IF(TournamentData[[#This Row],[Team Number]]="","",_xlfn.XLOOKUP(TournamentData[[#This Row],[Team Number]],InnovationProjectResults[Team Number],InnovationProjectResults[Innovation Project Rank],NumberOfTeams+1,0,))</f>
        <v>9</v>
      </c>
      <c r="N115" s="28">
        <f>IF(TournamentData[[#This Row],[Team Number]]="","",_xlfn.XLOOKUP(TournamentData[[#This Row],[Team Number]],RobotDesignResults[Team Number],RobotDesignResults[Engineering Design Rank],NumberOfTeams+1,0,))</f>
        <v>9</v>
      </c>
      <c r="O11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15" s="29">
        <f>IF(TournamentData[[#This Row],[Team Number]]="","",IF(O115,RANK(O115,O$3:O$202,1)-COUNTIF(O$3:O$202,0),NumberOfTeams+1))</f>
        <v>9</v>
      </c>
      <c r="Q115" s="30">
        <f>_xlfn.XLOOKUP(TournamentData[[#This Row],[Team Number]],CoreValuesResults[Team Number],CoreValuesResults[Inspiration Selection],0,0,)</f>
        <v>0</v>
      </c>
      <c r="R115" s="33">
        <f>_xlfn.XLOOKUP(TournamentData[[#This Row],[Team Number]],CoreValuesResults[Team Number],CoreValuesResults[Rising All-Star Selection],0,0,)</f>
        <v>0</v>
      </c>
      <c r="S11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15" s="31"/>
      <c r="U115" s="31"/>
      <c r="V115" s="32"/>
      <c r="W115" s="91">
        <f>_xlfn.XLOOKUP(TournamentData[[#This Row],[Team Number]],CoreValuesResults[Team Number],CoreValuesResults[Core Values Score],0,0,)</f>
        <v>0</v>
      </c>
      <c r="X115" s="91">
        <f>_xlfn.XLOOKUP(TournamentData[[#This Row],[Team Number]],InnovationProjectResults[Team Number],InnovationProjectResults[Innovation Project Score],0,0,)</f>
        <v>0</v>
      </c>
      <c r="Y115" s="91">
        <f>_xlfn.XLOOKUP(TournamentData[[#This Row],[Team Number]],RobotDesignResults[Team Number],RobotDesignResults[Engineering Design Score],0,0,)</f>
        <v>0</v>
      </c>
      <c r="Z11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15" s="31">
        <f t="shared" si="3"/>
        <v>8</v>
      </c>
      <c r="AB115" s="31"/>
    </row>
    <row r="116" spans="1:28" ht="21" customHeight="1" x14ac:dyDescent="0.25">
      <c r="A116">
        <f>_xlfn.XLOOKUP(114,OfficialTeamList[Row],OfficialTeamList[Team Number],"ERROR",0)</f>
        <v>0</v>
      </c>
      <c r="B116" s="27" t="str">
        <f>_xlfn.XLOOKUP(TournamentData[[#This Row],[Team Number]],OfficialTeamList[Team Number],OfficialTeamList[Team Name],"",0,)</f>
        <v/>
      </c>
      <c r="C116" s="28">
        <f>IF(TournamentData[[#This Row],[Team Number]]="","",_xlfn.XLOOKUP(TournamentData[[#This Row],[Team Number]],RobotGameScores[Team Number],RobotGameScores[Match 1 Score],0,0,))</f>
        <v>0</v>
      </c>
      <c r="D116" s="28">
        <f>IF(TournamentData[[#This Row],[Team Number]]="","",_xlfn.XLOOKUP(TournamentData[[#This Row],[Team Number]],RobotGameScores[Team Number],RobotGameScores[Match 2 Score],0,0,))</f>
        <v>0</v>
      </c>
      <c r="E116" s="28">
        <f>IF(TournamentData[[#This Row],[Team Number]]="","",_xlfn.XLOOKUP(TournamentData[[#This Row],[Team Number]],RobotGameScores[Team Number],RobotGameScores[Match 3 Score],0,0,))</f>
        <v>0</v>
      </c>
      <c r="F116" s="28">
        <f>IF(TournamentData[[#This Row],[Team Number]]="","",_xlfn.XLOOKUP(TournamentData[[#This Row],[Team Number]],RobotGameScores[Team Number],RobotGameScores[Match 4 Score],0,0,))</f>
        <v>0</v>
      </c>
      <c r="G116" s="28">
        <f>IF(TournamentData[[#This Row],[Team Number]]="","",_xlfn.XLOOKUP(TournamentData[[#This Row],[Team Number]],RobotGameScores[Team Number],RobotGameScores[Match 5 Score],0,0,))</f>
        <v>0</v>
      </c>
      <c r="H116" s="28" t="str">
        <f>IF(TournamentData[[#This Row],[Team Name]]="","",_xlfn.XLOOKUP(TournamentData[[#This Row],[Team Name]],RobotGameScores[Team Name],RobotGameScores[Match 6 Score],0,0,))</f>
        <v/>
      </c>
      <c r="I116" s="28">
        <v>0</v>
      </c>
      <c r="J116" s="28">
        <f>SUM(TournamentData[[#This Row],[Match Score 1]:[Match Score 6]])/NumberOfRounds</f>
        <v>0</v>
      </c>
      <c r="K116" s="60">
        <f>IF(TournamentData[[#This Row],[Team Number]]="","",1+COUNTIFS($J$3:$J$201,"&gt;"&amp;J116)+COUNTIFS($J$3:$J$201,J116,$I$3:$I$201,"&gt;"&amp;I116))</f>
        <v>9</v>
      </c>
      <c r="L116" s="28">
        <f>IF(TournamentData[[#This Row],[Team Number]]="","",_xlfn.XLOOKUP(TournamentData[[#This Row],[Team Number]],CoreValuesResults[Team Number],CoreValuesResults[Core Values Rank],NumberOfTeams+1,0,))</f>
        <v>9</v>
      </c>
      <c r="M116" s="28">
        <f>IF(TournamentData[[#This Row],[Team Number]]="","",_xlfn.XLOOKUP(TournamentData[[#This Row],[Team Number]],InnovationProjectResults[Team Number],InnovationProjectResults[Innovation Project Rank],NumberOfTeams+1,0,))</f>
        <v>9</v>
      </c>
      <c r="N116" s="28">
        <f>IF(TournamentData[[#This Row],[Team Number]]="","",_xlfn.XLOOKUP(TournamentData[[#This Row],[Team Number]],RobotDesignResults[Team Number],RobotDesignResults[Engineering Design Rank],NumberOfTeams+1,0,))</f>
        <v>9</v>
      </c>
      <c r="O11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16" s="29">
        <f>IF(TournamentData[[#This Row],[Team Number]]="","",IF(O116,RANK(O116,O$3:O$202,1)-COUNTIF(O$3:O$202,0),NumberOfTeams+1))</f>
        <v>9</v>
      </c>
      <c r="Q116" s="30">
        <f>_xlfn.XLOOKUP(TournamentData[[#This Row],[Team Number]],CoreValuesResults[Team Number],CoreValuesResults[Inspiration Selection],0,0,)</f>
        <v>0</v>
      </c>
      <c r="R116" s="33">
        <f>_xlfn.XLOOKUP(TournamentData[[#This Row],[Team Number]],CoreValuesResults[Team Number],CoreValuesResults[Rising All-Star Selection],0,0,)</f>
        <v>0</v>
      </c>
      <c r="S11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16" s="31"/>
      <c r="U116" s="31"/>
      <c r="V116" s="32"/>
      <c r="W116" s="91">
        <f>_xlfn.XLOOKUP(TournamentData[[#This Row],[Team Number]],CoreValuesResults[Team Number],CoreValuesResults[Core Values Score],0,0,)</f>
        <v>0</v>
      </c>
      <c r="X116" s="91">
        <f>_xlfn.XLOOKUP(TournamentData[[#This Row],[Team Number]],InnovationProjectResults[Team Number],InnovationProjectResults[Innovation Project Score],0,0,)</f>
        <v>0</v>
      </c>
      <c r="Y116" s="91">
        <f>_xlfn.XLOOKUP(TournamentData[[#This Row],[Team Number]],RobotDesignResults[Team Number],RobotDesignResults[Engineering Design Score],0,0,)</f>
        <v>0</v>
      </c>
      <c r="Z11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16" s="31">
        <f t="shared" si="3"/>
        <v>8</v>
      </c>
      <c r="AB116" s="31"/>
    </row>
    <row r="117" spans="1:28" ht="21" customHeight="1" x14ac:dyDescent="0.25">
      <c r="A117">
        <f>_xlfn.XLOOKUP(115,OfficialTeamList[Row],OfficialTeamList[Team Number],"ERROR",0)</f>
        <v>0</v>
      </c>
      <c r="B117" s="27" t="str">
        <f>_xlfn.XLOOKUP(TournamentData[[#This Row],[Team Number]],OfficialTeamList[Team Number],OfficialTeamList[Team Name],"",0,)</f>
        <v/>
      </c>
      <c r="C117" s="28">
        <f>IF(TournamentData[[#This Row],[Team Number]]="","",_xlfn.XLOOKUP(TournamentData[[#This Row],[Team Number]],RobotGameScores[Team Number],RobotGameScores[Match 1 Score],0,0,))</f>
        <v>0</v>
      </c>
      <c r="D117" s="28">
        <f>IF(TournamentData[[#This Row],[Team Number]]="","",_xlfn.XLOOKUP(TournamentData[[#This Row],[Team Number]],RobotGameScores[Team Number],RobotGameScores[Match 2 Score],0,0,))</f>
        <v>0</v>
      </c>
      <c r="E117" s="28">
        <f>IF(TournamentData[[#This Row],[Team Number]]="","",_xlfn.XLOOKUP(TournamentData[[#This Row],[Team Number]],RobotGameScores[Team Number],RobotGameScores[Match 3 Score],0,0,))</f>
        <v>0</v>
      </c>
      <c r="F117" s="28">
        <f>IF(TournamentData[[#This Row],[Team Number]]="","",_xlfn.XLOOKUP(TournamentData[[#This Row],[Team Number]],RobotGameScores[Team Number],RobotGameScores[Match 4 Score],0,0,))</f>
        <v>0</v>
      </c>
      <c r="G117" s="28">
        <f>IF(TournamentData[[#This Row],[Team Number]]="","",_xlfn.XLOOKUP(TournamentData[[#This Row],[Team Number]],RobotGameScores[Team Number],RobotGameScores[Match 5 Score],0,0,))</f>
        <v>0</v>
      </c>
      <c r="H117" s="28" t="str">
        <f>IF(TournamentData[[#This Row],[Team Name]]="","",_xlfn.XLOOKUP(TournamentData[[#This Row],[Team Name]],RobotGameScores[Team Name],RobotGameScores[Match 6 Score],0,0,))</f>
        <v/>
      </c>
      <c r="I117" s="28">
        <v>0</v>
      </c>
      <c r="J117" s="28">
        <f>SUM(TournamentData[[#This Row],[Match Score 1]:[Match Score 6]])/NumberOfRounds</f>
        <v>0</v>
      </c>
      <c r="K117" s="59">
        <f>IF(TournamentData[[#This Row],[Team Number]]="","",1+COUNTIFS($J$3:$J$201,"&gt;"&amp;J117)+COUNTIFS($J$3:$J$201,J117,$I$3:$I$201,"&gt;"&amp;I117))</f>
        <v>9</v>
      </c>
      <c r="L117" s="28">
        <f>IF(TournamentData[[#This Row],[Team Number]]="","",_xlfn.XLOOKUP(TournamentData[[#This Row],[Team Number]],CoreValuesResults[Team Number],CoreValuesResults[Core Values Rank],NumberOfTeams+1,0,))</f>
        <v>9</v>
      </c>
      <c r="M117" s="28">
        <f>IF(TournamentData[[#This Row],[Team Number]]="","",_xlfn.XLOOKUP(TournamentData[[#This Row],[Team Number]],InnovationProjectResults[Team Number],InnovationProjectResults[Innovation Project Rank],NumberOfTeams+1,0,))</f>
        <v>9</v>
      </c>
      <c r="N117" s="28">
        <f>IF(TournamentData[[#This Row],[Team Number]]="","",_xlfn.XLOOKUP(TournamentData[[#This Row],[Team Number]],RobotDesignResults[Team Number],RobotDesignResults[Engineering Design Rank],NumberOfTeams+1,0,))</f>
        <v>9</v>
      </c>
      <c r="O11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17" s="29">
        <f>IF(TournamentData[[#This Row],[Team Number]]="","",IF(O117,RANK(O117,O$3:O$202,1)-COUNTIF(O$3:O$202,0),NumberOfTeams+1))</f>
        <v>9</v>
      </c>
      <c r="Q117" s="30">
        <f>_xlfn.XLOOKUP(TournamentData[[#This Row],[Team Number]],CoreValuesResults[Team Number],CoreValuesResults[Inspiration Selection],0,0,)</f>
        <v>0</v>
      </c>
      <c r="R117" s="33">
        <f>_xlfn.XLOOKUP(TournamentData[[#This Row],[Team Number]],CoreValuesResults[Team Number],CoreValuesResults[Rising All-Star Selection],0,0,)</f>
        <v>0</v>
      </c>
      <c r="S11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17" s="31"/>
      <c r="U117" s="31"/>
      <c r="V117" s="32"/>
      <c r="W117" s="91">
        <f>_xlfn.XLOOKUP(TournamentData[[#This Row],[Team Number]],CoreValuesResults[Team Number],CoreValuesResults[Core Values Score],0,0,)</f>
        <v>0</v>
      </c>
      <c r="X117" s="91">
        <f>_xlfn.XLOOKUP(TournamentData[[#This Row],[Team Number]],InnovationProjectResults[Team Number],InnovationProjectResults[Innovation Project Score],0,0,)</f>
        <v>0</v>
      </c>
      <c r="Y117" s="91">
        <f>_xlfn.XLOOKUP(TournamentData[[#This Row],[Team Number]],RobotDesignResults[Team Number],RobotDesignResults[Engineering Design Score],0,0,)</f>
        <v>0</v>
      </c>
      <c r="Z11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17" s="31">
        <f t="shared" si="3"/>
        <v>8</v>
      </c>
      <c r="AB117" s="31"/>
    </row>
    <row r="118" spans="1:28" ht="21" customHeight="1" x14ac:dyDescent="0.25">
      <c r="A118">
        <f>_xlfn.XLOOKUP(116,OfficialTeamList[Row],OfficialTeamList[Team Number],"ERROR",0)</f>
        <v>0</v>
      </c>
      <c r="B118" s="27" t="str">
        <f>_xlfn.XLOOKUP(TournamentData[[#This Row],[Team Number]],OfficialTeamList[Team Number],OfficialTeamList[Team Name],"",0,)</f>
        <v/>
      </c>
      <c r="C118" s="28">
        <f>IF(TournamentData[[#This Row],[Team Number]]="","",_xlfn.XLOOKUP(TournamentData[[#This Row],[Team Number]],RobotGameScores[Team Number],RobotGameScores[Match 1 Score],0,0,))</f>
        <v>0</v>
      </c>
      <c r="D118" s="28">
        <f>IF(TournamentData[[#This Row],[Team Number]]="","",_xlfn.XLOOKUP(TournamentData[[#This Row],[Team Number]],RobotGameScores[Team Number],RobotGameScores[Match 2 Score],0,0,))</f>
        <v>0</v>
      </c>
      <c r="E118" s="28">
        <f>IF(TournamentData[[#This Row],[Team Number]]="","",_xlfn.XLOOKUP(TournamentData[[#This Row],[Team Number]],RobotGameScores[Team Number],RobotGameScores[Match 3 Score],0,0,))</f>
        <v>0</v>
      </c>
      <c r="F118" s="28">
        <f>IF(TournamentData[[#This Row],[Team Number]]="","",_xlfn.XLOOKUP(TournamentData[[#This Row],[Team Number]],RobotGameScores[Team Number],RobotGameScores[Match 4 Score],0,0,))</f>
        <v>0</v>
      </c>
      <c r="G118" s="28">
        <f>IF(TournamentData[[#This Row],[Team Number]]="","",_xlfn.XLOOKUP(TournamentData[[#This Row],[Team Number]],RobotGameScores[Team Number],RobotGameScores[Match 5 Score],0,0,))</f>
        <v>0</v>
      </c>
      <c r="H118" s="28" t="str">
        <f>IF(TournamentData[[#This Row],[Team Name]]="","",_xlfn.XLOOKUP(TournamentData[[#This Row],[Team Name]],RobotGameScores[Team Name],RobotGameScores[Match 6 Score],0,0,))</f>
        <v/>
      </c>
      <c r="I118" s="28">
        <v>0</v>
      </c>
      <c r="J118" s="28">
        <f>SUM(TournamentData[[#This Row],[Match Score 1]:[Match Score 6]])/NumberOfRounds</f>
        <v>0</v>
      </c>
      <c r="K118" s="60">
        <f>IF(TournamentData[[#This Row],[Team Number]]="","",1+COUNTIFS($J$3:$J$201,"&gt;"&amp;J118)+COUNTIFS($J$3:$J$201,J118,$I$3:$I$201,"&gt;"&amp;I118))</f>
        <v>9</v>
      </c>
      <c r="L118" s="28">
        <f>IF(TournamentData[[#This Row],[Team Number]]="","",_xlfn.XLOOKUP(TournamentData[[#This Row],[Team Number]],CoreValuesResults[Team Number],CoreValuesResults[Core Values Rank],NumberOfTeams+1,0,))</f>
        <v>9</v>
      </c>
      <c r="M118" s="28">
        <f>IF(TournamentData[[#This Row],[Team Number]]="","",_xlfn.XLOOKUP(TournamentData[[#This Row],[Team Number]],InnovationProjectResults[Team Number],InnovationProjectResults[Innovation Project Rank],NumberOfTeams+1,0,))</f>
        <v>9</v>
      </c>
      <c r="N118" s="28">
        <f>IF(TournamentData[[#This Row],[Team Number]]="","",_xlfn.XLOOKUP(TournamentData[[#This Row],[Team Number]],RobotDesignResults[Team Number],RobotDesignResults[Engineering Design Rank],NumberOfTeams+1,0,))</f>
        <v>9</v>
      </c>
      <c r="O11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18" s="29">
        <f>IF(TournamentData[[#This Row],[Team Number]]="","",IF(O118,RANK(O118,O$3:O$202,1)-COUNTIF(O$3:O$202,0),NumberOfTeams+1))</f>
        <v>9</v>
      </c>
      <c r="Q118" s="30">
        <f>_xlfn.XLOOKUP(TournamentData[[#This Row],[Team Number]],CoreValuesResults[Team Number],CoreValuesResults[Inspiration Selection],0,0,)</f>
        <v>0</v>
      </c>
      <c r="R118" s="33">
        <f>_xlfn.XLOOKUP(TournamentData[[#This Row],[Team Number]],CoreValuesResults[Team Number],CoreValuesResults[Rising All-Star Selection],0,0,)</f>
        <v>0</v>
      </c>
      <c r="S11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18" s="31"/>
      <c r="U118" s="31"/>
      <c r="V118" s="32"/>
      <c r="W118" s="91">
        <f>_xlfn.XLOOKUP(TournamentData[[#This Row],[Team Number]],CoreValuesResults[Team Number],CoreValuesResults[Core Values Score],0,0,)</f>
        <v>0</v>
      </c>
      <c r="X118" s="91">
        <f>_xlfn.XLOOKUP(TournamentData[[#This Row],[Team Number]],InnovationProjectResults[Team Number],InnovationProjectResults[Innovation Project Score],0,0,)</f>
        <v>0</v>
      </c>
      <c r="Y118" s="91">
        <f>_xlfn.XLOOKUP(TournamentData[[#This Row],[Team Number]],RobotDesignResults[Team Number],RobotDesignResults[Engineering Design Score],0,0,)</f>
        <v>0</v>
      </c>
      <c r="Z11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18" s="31">
        <f t="shared" si="3"/>
        <v>8</v>
      </c>
      <c r="AB118" s="31"/>
    </row>
    <row r="119" spans="1:28" ht="21" customHeight="1" x14ac:dyDescent="0.25">
      <c r="A119">
        <f>_xlfn.XLOOKUP(117,OfficialTeamList[Row],OfficialTeamList[Team Number],"ERROR",0)</f>
        <v>0</v>
      </c>
      <c r="B119" s="27" t="str">
        <f>_xlfn.XLOOKUP(TournamentData[[#This Row],[Team Number]],OfficialTeamList[Team Number],OfficialTeamList[Team Name],"",0,)</f>
        <v/>
      </c>
      <c r="C119" s="28">
        <f>IF(TournamentData[[#This Row],[Team Number]]="","",_xlfn.XLOOKUP(TournamentData[[#This Row],[Team Number]],RobotGameScores[Team Number],RobotGameScores[Match 1 Score],0,0,))</f>
        <v>0</v>
      </c>
      <c r="D119" s="28">
        <f>IF(TournamentData[[#This Row],[Team Number]]="","",_xlfn.XLOOKUP(TournamentData[[#This Row],[Team Number]],RobotGameScores[Team Number],RobotGameScores[Match 2 Score],0,0,))</f>
        <v>0</v>
      </c>
      <c r="E119" s="28">
        <f>IF(TournamentData[[#This Row],[Team Number]]="","",_xlfn.XLOOKUP(TournamentData[[#This Row],[Team Number]],RobotGameScores[Team Number],RobotGameScores[Match 3 Score],0,0,))</f>
        <v>0</v>
      </c>
      <c r="F119" s="28">
        <f>IF(TournamentData[[#This Row],[Team Number]]="","",_xlfn.XLOOKUP(TournamentData[[#This Row],[Team Number]],RobotGameScores[Team Number],RobotGameScores[Match 4 Score],0,0,))</f>
        <v>0</v>
      </c>
      <c r="G119" s="28">
        <f>IF(TournamentData[[#This Row],[Team Number]]="","",_xlfn.XLOOKUP(TournamentData[[#This Row],[Team Number]],RobotGameScores[Team Number],RobotGameScores[Match 5 Score],0,0,))</f>
        <v>0</v>
      </c>
      <c r="H119" s="28" t="str">
        <f>IF(TournamentData[[#This Row],[Team Name]]="","",_xlfn.XLOOKUP(TournamentData[[#This Row],[Team Name]],RobotGameScores[Team Name],RobotGameScores[Match 6 Score],0,0,))</f>
        <v/>
      </c>
      <c r="I119" s="28">
        <v>0</v>
      </c>
      <c r="J119" s="28">
        <f>SUM(TournamentData[[#This Row],[Match Score 1]:[Match Score 6]])/NumberOfRounds</f>
        <v>0</v>
      </c>
      <c r="K119" s="59">
        <f>IF(TournamentData[[#This Row],[Team Number]]="","",1+COUNTIFS($J$3:$J$201,"&gt;"&amp;J119)+COUNTIFS($J$3:$J$201,J119,$I$3:$I$201,"&gt;"&amp;I119))</f>
        <v>9</v>
      </c>
      <c r="L119" s="28">
        <f>IF(TournamentData[[#This Row],[Team Number]]="","",_xlfn.XLOOKUP(TournamentData[[#This Row],[Team Number]],CoreValuesResults[Team Number],CoreValuesResults[Core Values Rank],NumberOfTeams+1,0,))</f>
        <v>9</v>
      </c>
      <c r="M119" s="28">
        <f>IF(TournamentData[[#This Row],[Team Number]]="","",_xlfn.XLOOKUP(TournamentData[[#This Row],[Team Number]],InnovationProjectResults[Team Number],InnovationProjectResults[Innovation Project Rank],NumberOfTeams+1,0,))</f>
        <v>9</v>
      </c>
      <c r="N119" s="28">
        <f>IF(TournamentData[[#This Row],[Team Number]]="","",_xlfn.XLOOKUP(TournamentData[[#This Row],[Team Number]],RobotDesignResults[Team Number],RobotDesignResults[Engineering Design Rank],NumberOfTeams+1,0,))</f>
        <v>9</v>
      </c>
      <c r="O11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19" s="29">
        <f>IF(TournamentData[[#This Row],[Team Number]]="","",IF(O119,RANK(O119,O$3:O$202,1)-COUNTIF(O$3:O$202,0),NumberOfTeams+1))</f>
        <v>9</v>
      </c>
      <c r="Q119" s="30">
        <f>_xlfn.XLOOKUP(TournamentData[[#This Row],[Team Number]],CoreValuesResults[Team Number],CoreValuesResults[Inspiration Selection],0,0,)</f>
        <v>0</v>
      </c>
      <c r="R119" s="33">
        <f>_xlfn.XLOOKUP(TournamentData[[#This Row],[Team Number]],CoreValuesResults[Team Number],CoreValuesResults[Rising All-Star Selection],0,0,)</f>
        <v>0</v>
      </c>
      <c r="S11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19" s="31"/>
      <c r="U119" s="31"/>
      <c r="V119" s="32"/>
      <c r="W119" s="91">
        <f>_xlfn.XLOOKUP(TournamentData[[#This Row],[Team Number]],CoreValuesResults[Team Number],CoreValuesResults[Core Values Score],0,0,)</f>
        <v>0</v>
      </c>
      <c r="X119" s="91">
        <f>_xlfn.XLOOKUP(TournamentData[[#This Row],[Team Number]],InnovationProjectResults[Team Number],InnovationProjectResults[Innovation Project Score],0,0,)</f>
        <v>0</v>
      </c>
      <c r="Y119" s="91">
        <f>_xlfn.XLOOKUP(TournamentData[[#This Row],[Team Number]],RobotDesignResults[Team Number],RobotDesignResults[Engineering Design Score],0,0,)</f>
        <v>0</v>
      </c>
      <c r="Z11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19" s="31">
        <f t="shared" si="3"/>
        <v>8</v>
      </c>
      <c r="AB119" s="31"/>
    </row>
    <row r="120" spans="1:28" ht="21" customHeight="1" x14ac:dyDescent="0.25">
      <c r="A120">
        <f>_xlfn.XLOOKUP(118,OfficialTeamList[Row],OfficialTeamList[Team Number],"ERROR",0)</f>
        <v>0</v>
      </c>
      <c r="B120" s="27" t="str">
        <f>_xlfn.XLOOKUP(TournamentData[[#This Row],[Team Number]],OfficialTeamList[Team Number],OfficialTeamList[Team Name],"",0,)</f>
        <v/>
      </c>
      <c r="C120" s="28">
        <f>IF(TournamentData[[#This Row],[Team Number]]="","",_xlfn.XLOOKUP(TournamentData[[#This Row],[Team Number]],RobotGameScores[Team Number],RobotGameScores[Match 1 Score],0,0,))</f>
        <v>0</v>
      </c>
      <c r="D120" s="28">
        <f>IF(TournamentData[[#This Row],[Team Number]]="","",_xlfn.XLOOKUP(TournamentData[[#This Row],[Team Number]],RobotGameScores[Team Number],RobotGameScores[Match 2 Score],0,0,))</f>
        <v>0</v>
      </c>
      <c r="E120" s="28">
        <f>IF(TournamentData[[#This Row],[Team Number]]="","",_xlfn.XLOOKUP(TournamentData[[#This Row],[Team Number]],RobotGameScores[Team Number],RobotGameScores[Match 3 Score],0,0,))</f>
        <v>0</v>
      </c>
      <c r="F120" s="28">
        <f>IF(TournamentData[[#This Row],[Team Number]]="","",_xlfn.XLOOKUP(TournamentData[[#This Row],[Team Number]],RobotGameScores[Team Number],RobotGameScores[Match 4 Score],0,0,))</f>
        <v>0</v>
      </c>
      <c r="G120" s="28">
        <f>IF(TournamentData[[#This Row],[Team Number]]="","",_xlfn.XLOOKUP(TournamentData[[#This Row],[Team Number]],RobotGameScores[Team Number],RobotGameScores[Match 5 Score],0,0,))</f>
        <v>0</v>
      </c>
      <c r="H120" s="28" t="str">
        <f>IF(TournamentData[[#This Row],[Team Name]]="","",_xlfn.XLOOKUP(TournamentData[[#This Row],[Team Name]],RobotGameScores[Team Name],RobotGameScores[Match 6 Score],0,0,))</f>
        <v/>
      </c>
      <c r="I120" s="28">
        <v>0</v>
      </c>
      <c r="J120" s="28">
        <f>SUM(TournamentData[[#This Row],[Match Score 1]:[Match Score 6]])/NumberOfRounds</f>
        <v>0</v>
      </c>
      <c r="K120" s="60">
        <f>IF(TournamentData[[#This Row],[Team Number]]="","",1+COUNTIFS($J$3:$J$201,"&gt;"&amp;J120)+COUNTIFS($J$3:$J$201,J120,$I$3:$I$201,"&gt;"&amp;I120))</f>
        <v>9</v>
      </c>
      <c r="L120" s="28">
        <f>IF(TournamentData[[#This Row],[Team Number]]="","",_xlfn.XLOOKUP(TournamentData[[#This Row],[Team Number]],CoreValuesResults[Team Number],CoreValuesResults[Core Values Rank],NumberOfTeams+1,0,))</f>
        <v>9</v>
      </c>
      <c r="M120" s="28">
        <f>IF(TournamentData[[#This Row],[Team Number]]="","",_xlfn.XLOOKUP(TournamentData[[#This Row],[Team Number]],InnovationProjectResults[Team Number],InnovationProjectResults[Innovation Project Rank],NumberOfTeams+1,0,))</f>
        <v>9</v>
      </c>
      <c r="N120" s="28">
        <f>IF(TournamentData[[#This Row],[Team Number]]="","",_xlfn.XLOOKUP(TournamentData[[#This Row],[Team Number]],RobotDesignResults[Team Number],RobotDesignResults[Engineering Design Rank],NumberOfTeams+1,0,))</f>
        <v>9</v>
      </c>
      <c r="O12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20" s="29">
        <f>IF(TournamentData[[#This Row],[Team Number]]="","",IF(O120,RANK(O120,O$3:O$202,1)-COUNTIF(O$3:O$202,0),NumberOfTeams+1))</f>
        <v>9</v>
      </c>
      <c r="Q120" s="30">
        <f>_xlfn.XLOOKUP(TournamentData[[#This Row],[Team Number]],CoreValuesResults[Team Number],CoreValuesResults[Inspiration Selection],0,0,)</f>
        <v>0</v>
      </c>
      <c r="R120" s="33">
        <f>_xlfn.XLOOKUP(TournamentData[[#This Row],[Team Number]],CoreValuesResults[Team Number],CoreValuesResults[Rising All-Star Selection],0,0,)</f>
        <v>0</v>
      </c>
      <c r="S12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20" s="31"/>
      <c r="U120" s="31"/>
      <c r="V120" s="32"/>
      <c r="W120" s="91">
        <f>_xlfn.XLOOKUP(TournamentData[[#This Row],[Team Number]],CoreValuesResults[Team Number],CoreValuesResults[Core Values Score],0,0,)</f>
        <v>0</v>
      </c>
      <c r="X120" s="91">
        <f>_xlfn.XLOOKUP(TournamentData[[#This Row],[Team Number]],InnovationProjectResults[Team Number],InnovationProjectResults[Innovation Project Score],0,0,)</f>
        <v>0</v>
      </c>
      <c r="Y120" s="91">
        <f>_xlfn.XLOOKUP(TournamentData[[#This Row],[Team Number]],RobotDesignResults[Team Number],RobotDesignResults[Engineering Design Score],0,0,)</f>
        <v>0</v>
      </c>
      <c r="Z12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20" s="31">
        <f t="shared" si="3"/>
        <v>8</v>
      </c>
      <c r="AB120" s="31"/>
    </row>
    <row r="121" spans="1:28" ht="21" customHeight="1" x14ac:dyDescent="0.25">
      <c r="A121">
        <f>_xlfn.XLOOKUP(119,OfficialTeamList[Row],OfficialTeamList[Team Number],"ERROR",0)</f>
        <v>0</v>
      </c>
      <c r="B121" s="27" t="str">
        <f>_xlfn.XLOOKUP(TournamentData[[#This Row],[Team Number]],OfficialTeamList[Team Number],OfficialTeamList[Team Name],"",0,)</f>
        <v/>
      </c>
      <c r="C121" s="28">
        <f>IF(TournamentData[[#This Row],[Team Number]]="","",_xlfn.XLOOKUP(TournamentData[[#This Row],[Team Number]],RobotGameScores[Team Number],RobotGameScores[Match 1 Score],0,0,))</f>
        <v>0</v>
      </c>
      <c r="D121" s="28">
        <f>IF(TournamentData[[#This Row],[Team Number]]="","",_xlfn.XLOOKUP(TournamentData[[#This Row],[Team Number]],RobotGameScores[Team Number],RobotGameScores[Match 2 Score],0,0,))</f>
        <v>0</v>
      </c>
      <c r="E121" s="28">
        <f>IF(TournamentData[[#This Row],[Team Number]]="","",_xlfn.XLOOKUP(TournamentData[[#This Row],[Team Number]],RobotGameScores[Team Number],RobotGameScores[Match 3 Score],0,0,))</f>
        <v>0</v>
      </c>
      <c r="F121" s="28">
        <f>IF(TournamentData[[#This Row],[Team Number]]="","",_xlfn.XLOOKUP(TournamentData[[#This Row],[Team Number]],RobotGameScores[Team Number],RobotGameScores[Match 4 Score],0,0,))</f>
        <v>0</v>
      </c>
      <c r="G121" s="28">
        <f>IF(TournamentData[[#This Row],[Team Number]]="","",_xlfn.XLOOKUP(TournamentData[[#This Row],[Team Number]],RobotGameScores[Team Number],RobotGameScores[Match 5 Score],0,0,))</f>
        <v>0</v>
      </c>
      <c r="H121" s="28" t="str">
        <f>IF(TournamentData[[#This Row],[Team Name]]="","",_xlfn.XLOOKUP(TournamentData[[#This Row],[Team Name]],RobotGameScores[Team Name],RobotGameScores[Match 6 Score],0,0,))</f>
        <v/>
      </c>
      <c r="I121" s="28">
        <v>0</v>
      </c>
      <c r="J121" s="28">
        <f>SUM(TournamentData[[#This Row],[Match Score 1]:[Match Score 6]])/NumberOfRounds</f>
        <v>0</v>
      </c>
      <c r="K121" s="59">
        <f>IF(TournamentData[[#This Row],[Team Number]]="","",1+COUNTIFS($J$3:$J$201,"&gt;"&amp;J121)+COUNTIFS($J$3:$J$201,J121,$I$3:$I$201,"&gt;"&amp;I121))</f>
        <v>9</v>
      </c>
      <c r="L121" s="28">
        <f>IF(TournamentData[[#This Row],[Team Number]]="","",_xlfn.XLOOKUP(TournamentData[[#This Row],[Team Number]],CoreValuesResults[Team Number],CoreValuesResults[Core Values Rank],NumberOfTeams+1,0,))</f>
        <v>9</v>
      </c>
      <c r="M121" s="28">
        <f>IF(TournamentData[[#This Row],[Team Number]]="","",_xlfn.XLOOKUP(TournamentData[[#This Row],[Team Number]],InnovationProjectResults[Team Number],InnovationProjectResults[Innovation Project Rank],NumberOfTeams+1,0,))</f>
        <v>9</v>
      </c>
      <c r="N121" s="28">
        <f>IF(TournamentData[[#This Row],[Team Number]]="","",_xlfn.XLOOKUP(TournamentData[[#This Row],[Team Number]],RobotDesignResults[Team Number],RobotDesignResults[Engineering Design Rank],NumberOfTeams+1,0,))</f>
        <v>9</v>
      </c>
      <c r="O12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21" s="29">
        <f>IF(TournamentData[[#This Row],[Team Number]]="","",IF(O121,RANK(O121,O$3:O$202,1)-COUNTIF(O$3:O$202,0),NumberOfTeams+1))</f>
        <v>9</v>
      </c>
      <c r="Q121" s="30">
        <f>_xlfn.XLOOKUP(TournamentData[[#This Row],[Team Number]],CoreValuesResults[Team Number],CoreValuesResults[Inspiration Selection],0,0,)</f>
        <v>0</v>
      </c>
      <c r="R121" s="33">
        <f>_xlfn.XLOOKUP(TournamentData[[#This Row],[Team Number]],CoreValuesResults[Team Number],CoreValuesResults[Rising All-Star Selection],0,0,)</f>
        <v>0</v>
      </c>
      <c r="S12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21" s="31"/>
      <c r="U121" s="31"/>
      <c r="V121" s="32"/>
      <c r="W121" s="91">
        <f>_xlfn.XLOOKUP(TournamentData[[#This Row],[Team Number]],CoreValuesResults[Team Number],CoreValuesResults[Core Values Score],0,0,)</f>
        <v>0</v>
      </c>
      <c r="X121" s="91">
        <f>_xlfn.XLOOKUP(TournamentData[[#This Row],[Team Number]],InnovationProjectResults[Team Number],InnovationProjectResults[Innovation Project Score],0,0,)</f>
        <v>0</v>
      </c>
      <c r="Y121" s="91">
        <f>_xlfn.XLOOKUP(TournamentData[[#This Row],[Team Number]],RobotDesignResults[Team Number],RobotDesignResults[Engineering Design Score],0,0,)</f>
        <v>0</v>
      </c>
      <c r="Z12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21" s="31">
        <f t="shared" si="3"/>
        <v>8</v>
      </c>
      <c r="AB121" s="31"/>
    </row>
    <row r="122" spans="1:28" ht="21" customHeight="1" x14ac:dyDescent="0.25">
      <c r="A122">
        <f>_xlfn.XLOOKUP(120,OfficialTeamList[Row],OfficialTeamList[Team Number],"ERROR",0)</f>
        <v>0</v>
      </c>
      <c r="B122" s="27" t="str">
        <f>_xlfn.XLOOKUP(TournamentData[[#This Row],[Team Number]],OfficialTeamList[Team Number],OfficialTeamList[Team Name],"",0,)</f>
        <v/>
      </c>
      <c r="C122" s="28">
        <f>IF(TournamentData[[#This Row],[Team Number]]="","",_xlfn.XLOOKUP(TournamentData[[#This Row],[Team Number]],RobotGameScores[Team Number],RobotGameScores[Match 1 Score],0,0,))</f>
        <v>0</v>
      </c>
      <c r="D122" s="28">
        <f>IF(TournamentData[[#This Row],[Team Number]]="","",_xlfn.XLOOKUP(TournamentData[[#This Row],[Team Number]],RobotGameScores[Team Number],RobotGameScores[Match 2 Score],0,0,))</f>
        <v>0</v>
      </c>
      <c r="E122" s="28">
        <f>IF(TournamentData[[#This Row],[Team Number]]="","",_xlfn.XLOOKUP(TournamentData[[#This Row],[Team Number]],RobotGameScores[Team Number],RobotGameScores[Match 3 Score],0,0,))</f>
        <v>0</v>
      </c>
      <c r="F122" s="28">
        <f>IF(TournamentData[[#This Row],[Team Number]]="","",_xlfn.XLOOKUP(TournamentData[[#This Row],[Team Number]],RobotGameScores[Team Number],RobotGameScores[Match 4 Score],0,0,))</f>
        <v>0</v>
      </c>
      <c r="G122" s="28">
        <f>IF(TournamentData[[#This Row],[Team Number]]="","",_xlfn.XLOOKUP(TournamentData[[#This Row],[Team Number]],RobotGameScores[Team Number],RobotGameScores[Match 5 Score],0,0,))</f>
        <v>0</v>
      </c>
      <c r="H122" s="28" t="str">
        <f>IF(TournamentData[[#This Row],[Team Name]]="","",_xlfn.XLOOKUP(TournamentData[[#This Row],[Team Name]],RobotGameScores[Team Name],RobotGameScores[Match 6 Score],0,0,))</f>
        <v/>
      </c>
      <c r="I122" s="28">
        <v>0</v>
      </c>
      <c r="J122" s="28">
        <f>SUM(TournamentData[[#This Row],[Match Score 1]:[Match Score 6]])/NumberOfRounds</f>
        <v>0</v>
      </c>
      <c r="K122" s="60">
        <f>IF(TournamentData[[#This Row],[Team Number]]="","",1+COUNTIFS($J$3:$J$201,"&gt;"&amp;J122)+COUNTIFS($J$3:$J$201,J122,$I$3:$I$201,"&gt;"&amp;I122))</f>
        <v>9</v>
      </c>
      <c r="L122" s="28">
        <f>IF(TournamentData[[#This Row],[Team Number]]="","",_xlfn.XLOOKUP(TournamentData[[#This Row],[Team Number]],CoreValuesResults[Team Number],CoreValuesResults[Core Values Rank],NumberOfTeams+1,0,))</f>
        <v>9</v>
      </c>
      <c r="M122" s="28">
        <f>IF(TournamentData[[#This Row],[Team Number]]="","",_xlfn.XLOOKUP(TournamentData[[#This Row],[Team Number]],InnovationProjectResults[Team Number],InnovationProjectResults[Innovation Project Rank],NumberOfTeams+1,0,))</f>
        <v>9</v>
      </c>
      <c r="N122" s="28">
        <f>IF(TournamentData[[#This Row],[Team Number]]="","",_xlfn.XLOOKUP(TournamentData[[#This Row],[Team Number]],RobotDesignResults[Team Number],RobotDesignResults[Engineering Design Rank],NumberOfTeams+1,0,))</f>
        <v>9</v>
      </c>
      <c r="O12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22" s="29">
        <f>IF(TournamentData[[#This Row],[Team Number]]="","",IF(O122,RANK(O122,O$3:O$202,1)-COUNTIF(O$3:O$202,0),NumberOfTeams+1))</f>
        <v>9</v>
      </c>
      <c r="Q122" s="30">
        <f>_xlfn.XLOOKUP(TournamentData[[#This Row],[Team Number]],CoreValuesResults[Team Number],CoreValuesResults[Inspiration Selection],0,0,)</f>
        <v>0</v>
      </c>
      <c r="R122" s="33">
        <f>_xlfn.XLOOKUP(TournamentData[[#This Row],[Team Number]],CoreValuesResults[Team Number],CoreValuesResults[Rising All-Star Selection],0,0,)</f>
        <v>0</v>
      </c>
      <c r="S12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22" s="31"/>
      <c r="U122" s="31"/>
      <c r="V122" s="32"/>
      <c r="W122" s="91">
        <f>_xlfn.XLOOKUP(TournamentData[[#This Row],[Team Number]],CoreValuesResults[Team Number],CoreValuesResults[Core Values Score],0,0,)</f>
        <v>0</v>
      </c>
      <c r="X122" s="91">
        <f>_xlfn.XLOOKUP(TournamentData[[#This Row],[Team Number]],InnovationProjectResults[Team Number],InnovationProjectResults[Innovation Project Score],0,0,)</f>
        <v>0</v>
      </c>
      <c r="Y122" s="91">
        <f>_xlfn.XLOOKUP(TournamentData[[#This Row],[Team Number]],RobotDesignResults[Team Number],RobotDesignResults[Engineering Design Score],0,0,)</f>
        <v>0</v>
      </c>
      <c r="Z12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22" s="31">
        <f t="shared" si="3"/>
        <v>8</v>
      </c>
      <c r="AB122" s="31"/>
    </row>
    <row r="123" spans="1:28" ht="21" customHeight="1" x14ac:dyDescent="0.25">
      <c r="A123">
        <f>_xlfn.XLOOKUP(121,OfficialTeamList[Row],OfficialTeamList[Team Number],"ERROR",0)</f>
        <v>0</v>
      </c>
      <c r="B123" s="27" t="str">
        <f>_xlfn.XLOOKUP(TournamentData[[#This Row],[Team Number]],OfficialTeamList[Team Number],OfficialTeamList[Team Name],"",0,)</f>
        <v/>
      </c>
      <c r="C123" s="28">
        <f>IF(TournamentData[[#This Row],[Team Number]]="","",_xlfn.XLOOKUP(TournamentData[[#This Row],[Team Number]],RobotGameScores[Team Number],RobotGameScores[Match 1 Score],0,0,))</f>
        <v>0</v>
      </c>
      <c r="D123" s="28">
        <f>IF(TournamentData[[#This Row],[Team Number]]="","",_xlfn.XLOOKUP(TournamentData[[#This Row],[Team Number]],RobotGameScores[Team Number],RobotGameScores[Match 2 Score],0,0,))</f>
        <v>0</v>
      </c>
      <c r="E123" s="28">
        <f>IF(TournamentData[[#This Row],[Team Number]]="","",_xlfn.XLOOKUP(TournamentData[[#This Row],[Team Number]],RobotGameScores[Team Number],RobotGameScores[Match 3 Score],0,0,))</f>
        <v>0</v>
      </c>
      <c r="F123" s="28">
        <f>IF(TournamentData[[#This Row],[Team Number]]="","",_xlfn.XLOOKUP(TournamentData[[#This Row],[Team Number]],RobotGameScores[Team Number],RobotGameScores[Match 4 Score],0,0,))</f>
        <v>0</v>
      </c>
      <c r="G123" s="28">
        <f>IF(TournamentData[[#This Row],[Team Number]]="","",_xlfn.XLOOKUP(TournamentData[[#This Row],[Team Number]],RobotGameScores[Team Number],RobotGameScores[Match 5 Score],0,0,))</f>
        <v>0</v>
      </c>
      <c r="H123" s="28" t="str">
        <f>IF(TournamentData[[#This Row],[Team Name]]="","",_xlfn.XLOOKUP(TournamentData[[#This Row],[Team Name]],RobotGameScores[Team Name],RobotGameScores[Match 6 Score],0,0,))</f>
        <v/>
      </c>
      <c r="I123" s="28">
        <v>0</v>
      </c>
      <c r="J123" s="28">
        <f>SUM(TournamentData[[#This Row],[Match Score 1]:[Match Score 6]])/NumberOfRounds</f>
        <v>0</v>
      </c>
      <c r="K123" s="59">
        <f>IF(TournamentData[[#This Row],[Team Number]]="","",1+COUNTIFS($J$3:$J$201,"&gt;"&amp;J123)+COUNTIFS($J$3:$J$201,J123,$I$3:$I$201,"&gt;"&amp;I123))</f>
        <v>9</v>
      </c>
      <c r="L123" s="28">
        <f>IF(TournamentData[[#This Row],[Team Number]]="","",_xlfn.XLOOKUP(TournamentData[[#This Row],[Team Number]],CoreValuesResults[Team Number],CoreValuesResults[Core Values Rank],NumberOfTeams+1,0,))</f>
        <v>9</v>
      </c>
      <c r="M123" s="28">
        <f>IF(TournamentData[[#This Row],[Team Number]]="","",_xlfn.XLOOKUP(TournamentData[[#This Row],[Team Number]],InnovationProjectResults[Team Number],InnovationProjectResults[Innovation Project Rank],NumberOfTeams+1,0,))</f>
        <v>9</v>
      </c>
      <c r="N123" s="28">
        <f>IF(TournamentData[[#This Row],[Team Number]]="","",_xlfn.XLOOKUP(TournamentData[[#This Row],[Team Number]],RobotDesignResults[Team Number],RobotDesignResults[Engineering Design Rank],NumberOfTeams+1,0,))</f>
        <v>9</v>
      </c>
      <c r="O12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23" s="29">
        <f>IF(TournamentData[[#This Row],[Team Number]]="","",IF(O123,RANK(O123,O$3:O$202,1)-COUNTIF(O$3:O$202,0),NumberOfTeams+1))</f>
        <v>9</v>
      </c>
      <c r="Q123" s="30">
        <f>_xlfn.XLOOKUP(TournamentData[[#This Row],[Team Number]],CoreValuesResults[Team Number],CoreValuesResults[Inspiration Selection],0,0,)</f>
        <v>0</v>
      </c>
      <c r="R123" s="33">
        <f>_xlfn.XLOOKUP(TournamentData[[#This Row],[Team Number]],CoreValuesResults[Team Number],CoreValuesResults[Rising All-Star Selection],0,0,)</f>
        <v>0</v>
      </c>
      <c r="S12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23" s="31"/>
      <c r="U123" s="31"/>
      <c r="V123" s="32"/>
      <c r="W123" s="91">
        <f>_xlfn.XLOOKUP(TournamentData[[#This Row],[Team Number]],CoreValuesResults[Team Number],CoreValuesResults[Core Values Score],0,0,)</f>
        <v>0</v>
      </c>
      <c r="X123" s="91">
        <f>_xlfn.XLOOKUP(TournamentData[[#This Row],[Team Number]],InnovationProjectResults[Team Number],InnovationProjectResults[Innovation Project Score],0,0,)</f>
        <v>0</v>
      </c>
      <c r="Y123" s="91">
        <f>_xlfn.XLOOKUP(TournamentData[[#This Row],[Team Number]],RobotDesignResults[Team Number],RobotDesignResults[Engineering Design Score],0,0,)</f>
        <v>0</v>
      </c>
      <c r="Z12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23" s="31">
        <f t="shared" si="3"/>
        <v>8</v>
      </c>
      <c r="AB123" s="31"/>
    </row>
    <row r="124" spans="1:28" ht="21" customHeight="1" x14ac:dyDescent="0.25">
      <c r="A124">
        <f>_xlfn.XLOOKUP(122,OfficialTeamList[Row],OfficialTeamList[Team Number],"ERROR",0)</f>
        <v>0</v>
      </c>
      <c r="B124" s="27" t="str">
        <f>_xlfn.XLOOKUP(TournamentData[[#This Row],[Team Number]],OfficialTeamList[Team Number],OfficialTeamList[Team Name],"",0,)</f>
        <v/>
      </c>
      <c r="C124" s="28">
        <f>IF(TournamentData[[#This Row],[Team Number]]="","",_xlfn.XLOOKUP(TournamentData[[#This Row],[Team Number]],RobotGameScores[Team Number],RobotGameScores[Match 1 Score],0,0,))</f>
        <v>0</v>
      </c>
      <c r="D124" s="28">
        <f>IF(TournamentData[[#This Row],[Team Number]]="","",_xlfn.XLOOKUP(TournamentData[[#This Row],[Team Number]],RobotGameScores[Team Number],RobotGameScores[Match 2 Score],0,0,))</f>
        <v>0</v>
      </c>
      <c r="E124" s="28">
        <f>IF(TournamentData[[#This Row],[Team Number]]="","",_xlfn.XLOOKUP(TournamentData[[#This Row],[Team Number]],RobotGameScores[Team Number],RobotGameScores[Match 3 Score],0,0,))</f>
        <v>0</v>
      </c>
      <c r="F124" s="28">
        <f>IF(TournamentData[[#This Row],[Team Number]]="","",_xlfn.XLOOKUP(TournamentData[[#This Row],[Team Number]],RobotGameScores[Team Number],RobotGameScores[Match 4 Score],0,0,))</f>
        <v>0</v>
      </c>
      <c r="G124" s="28">
        <f>IF(TournamentData[[#This Row],[Team Number]]="","",_xlfn.XLOOKUP(TournamentData[[#This Row],[Team Number]],RobotGameScores[Team Number],RobotGameScores[Match 5 Score],0,0,))</f>
        <v>0</v>
      </c>
      <c r="H124" s="28" t="str">
        <f>IF(TournamentData[[#This Row],[Team Name]]="","",_xlfn.XLOOKUP(TournamentData[[#This Row],[Team Name]],RobotGameScores[Team Name],RobotGameScores[Match 6 Score],0,0,))</f>
        <v/>
      </c>
      <c r="I124" s="28">
        <v>0</v>
      </c>
      <c r="J124" s="28">
        <f>SUM(TournamentData[[#This Row],[Match Score 1]:[Match Score 6]])/NumberOfRounds</f>
        <v>0</v>
      </c>
      <c r="K124" s="60">
        <f>IF(TournamentData[[#This Row],[Team Number]]="","",1+COUNTIFS($J$3:$J$201,"&gt;"&amp;J124)+COUNTIFS($J$3:$J$201,J124,$I$3:$I$201,"&gt;"&amp;I124))</f>
        <v>9</v>
      </c>
      <c r="L124" s="28">
        <f>IF(TournamentData[[#This Row],[Team Number]]="","",_xlfn.XLOOKUP(TournamentData[[#This Row],[Team Number]],CoreValuesResults[Team Number],CoreValuesResults[Core Values Rank],NumberOfTeams+1,0,))</f>
        <v>9</v>
      </c>
      <c r="M124" s="28">
        <f>IF(TournamentData[[#This Row],[Team Number]]="","",_xlfn.XLOOKUP(TournamentData[[#This Row],[Team Number]],InnovationProjectResults[Team Number],InnovationProjectResults[Innovation Project Rank],NumberOfTeams+1,0,))</f>
        <v>9</v>
      </c>
      <c r="N124" s="28">
        <f>IF(TournamentData[[#This Row],[Team Number]]="","",_xlfn.XLOOKUP(TournamentData[[#This Row],[Team Number]],RobotDesignResults[Team Number],RobotDesignResults[Engineering Design Rank],NumberOfTeams+1,0,))</f>
        <v>9</v>
      </c>
      <c r="O12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24" s="29">
        <f>IF(TournamentData[[#This Row],[Team Number]]="","",IF(O124,RANK(O124,O$3:O$202,1)-COUNTIF(O$3:O$202,0),NumberOfTeams+1))</f>
        <v>9</v>
      </c>
      <c r="Q124" s="30">
        <f>_xlfn.XLOOKUP(TournamentData[[#This Row],[Team Number]],CoreValuesResults[Team Number],CoreValuesResults[Inspiration Selection],0,0,)</f>
        <v>0</v>
      </c>
      <c r="R124" s="33">
        <f>_xlfn.XLOOKUP(TournamentData[[#This Row],[Team Number]],CoreValuesResults[Team Number],CoreValuesResults[Rising All-Star Selection],0,0,)</f>
        <v>0</v>
      </c>
      <c r="S12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24" s="31"/>
      <c r="U124" s="31"/>
      <c r="V124" s="32"/>
      <c r="W124" s="91">
        <f>_xlfn.XLOOKUP(TournamentData[[#This Row],[Team Number]],CoreValuesResults[Team Number],CoreValuesResults[Core Values Score],0,0,)</f>
        <v>0</v>
      </c>
      <c r="X124" s="91">
        <f>_xlfn.XLOOKUP(TournamentData[[#This Row],[Team Number]],InnovationProjectResults[Team Number],InnovationProjectResults[Innovation Project Score],0,0,)</f>
        <v>0</v>
      </c>
      <c r="Y124" s="91">
        <f>_xlfn.XLOOKUP(TournamentData[[#This Row],[Team Number]],RobotDesignResults[Team Number],RobotDesignResults[Engineering Design Score],0,0,)</f>
        <v>0</v>
      </c>
      <c r="Z12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24" s="31">
        <f t="shared" si="3"/>
        <v>8</v>
      </c>
      <c r="AB124" s="31"/>
    </row>
    <row r="125" spans="1:28" ht="21" customHeight="1" x14ac:dyDescent="0.25">
      <c r="A125">
        <f>_xlfn.XLOOKUP(123,OfficialTeamList[Row],OfficialTeamList[Team Number],"ERROR",0)</f>
        <v>0</v>
      </c>
      <c r="B125" s="27" t="str">
        <f>_xlfn.XLOOKUP(TournamentData[[#This Row],[Team Number]],OfficialTeamList[Team Number],OfficialTeamList[Team Name],"",0,)</f>
        <v/>
      </c>
      <c r="C125" s="28">
        <f>IF(TournamentData[[#This Row],[Team Number]]="","",_xlfn.XLOOKUP(TournamentData[[#This Row],[Team Number]],RobotGameScores[Team Number],RobotGameScores[Match 1 Score],0,0,))</f>
        <v>0</v>
      </c>
      <c r="D125" s="28">
        <f>IF(TournamentData[[#This Row],[Team Number]]="","",_xlfn.XLOOKUP(TournamentData[[#This Row],[Team Number]],RobotGameScores[Team Number],RobotGameScores[Match 2 Score],0,0,))</f>
        <v>0</v>
      </c>
      <c r="E125" s="28">
        <f>IF(TournamentData[[#This Row],[Team Number]]="","",_xlfn.XLOOKUP(TournamentData[[#This Row],[Team Number]],RobotGameScores[Team Number],RobotGameScores[Match 3 Score],0,0,))</f>
        <v>0</v>
      </c>
      <c r="F125" s="28">
        <f>IF(TournamentData[[#This Row],[Team Number]]="","",_xlfn.XLOOKUP(TournamentData[[#This Row],[Team Number]],RobotGameScores[Team Number],RobotGameScores[Match 4 Score],0,0,))</f>
        <v>0</v>
      </c>
      <c r="G125" s="28">
        <f>IF(TournamentData[[#This Row],[Team Number]]="","",_xlfn.XLOOKUP(TournamentData[[#This Row],[Team Number]],RobotGameScores[Team Number],RobotGameScores[Match 5 Score],0,0,))</f>
        <v>0</v>
      </c>
      <c r="H125" s="28" t="str">
        <f>IF(TournamentData[[#This Row],[Team Name]]="","",_xlfn.XLOOKUP(TournamentData[[#This Row],[Team Name]],RobotGameScores[Team Name],RobotGameScores[Match 6 Score],0,0,))</f>
        <v/>
      </c>
      <c r="I125" s="28">
        <v>0</v>
      </c>
      <c r="J125" s="28">
        <f>SUM(TournamentData[[#This Row],[Match Score 1]:[Match Score 6]])/NumberOfRounds</f>
        <v>0</v>
      </c>
      <c r="K125" s="59">
        <f>IF(TournamentData[[#This Row],[Team Number]]="","",1+COUNTIFS($J$3:$J$201,"&gt;"&amp;J125)+COUNTIFS($J$3:$J$201,J125,$I$3:$I$201,"&gt;"&amp;I125))</f>
        <v>9</v>
      </c>
      <c r="L125" s="28">
        <f>IF(TournamentData[[#This Row],[Team Number]]="","",_xlfn.XLOOKUP(TournamentData[[#This Row],[Team Number]],CoreValuesResults[Team Number],CoreValuesResults[Core Values Rank],NumberOfTeams+1,0,))</f>
        <v>9</v>
      </c>
      <c r="M125" s="28">
        <f>IF(TournamentData[[#This Row],[Team Number]]="","",_xlfn.XLOOKUP(TournamentData[[#This Row],[Team Number]],InnovationProjectResults[Team Number],InnovationProjectResults[Innovation Project Rank],NumberOfTeams+1,0,))</f>
        <v>9</v>
      </c>
      <c r="N125" s="28">
        <f>IF(TournamentData[[#This Row],[Team Number]]="","",_xlfn.XLOOKUP(TournamentData[[#This Row],[Team Number]],RobotDesignResults[Team Number],RobotDesignResults[Engineering Design Rank],NumberOfTeams+1,0,))</f>
        <v>9</v>
      </c>
      <c r="O12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25" s="29">
        <f>IF(TournamentData[[#This Row],[Team Number]]="","",IF(O125,RANK(O125,O$3:O$202,1)-COUNTIF(O$3:O$202,0),NumberOfTeams+1))</f>
        <v>9</v>
      </c>
      <c r="Q125" s="30">
        <f>_xlfn.XLOOKUP(TournamentData[[#This Row],[Team Number]],CoreValuesResults[Team Number],CoreValuesResults[Inspiration Selection],0,0,)</f>
        <v>0</v>
      </c>
      <c r="R125" s="33">
        <f>_xlfn.XLOOKUP(TournamentData[[#This Row],[Team Number]],CoreValuesResults[Team Number],CoreValuesResults[Rising All-Star Selection],0,0,)</f>
        <v>0</v>
      </c>
      <c r="S12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25" s="31"/>
      <c r="U125" s="31"/>
      <c r="V125" s="32"/>
      <c r="W125" s="91">
        <f>_xlfn.XLOOKUP(TournamentData[[#This Row],[Team Number]],CoreValuesResults[Team Number],CoreValuesResults[Core Values Score],0,0,)</f>
        <v>0</v>
      </c>
      <c r="X125" s="91">
        <f>_xlfn.XLOOKUP(TournamentData[[#This Row],[Team Number]],InnovationProjectResults[Team Number],InnovationProjectResults[Innovation Project Score],0,0,)</f>
        <v>0</v>
      </c>
      <c r="Y125" s="91">
        <f>_xlfn.XLOOKUP(TournamentData[[#This Row],[Team Number]],RobotDesignResults[Team Number],RobotDesignResults[Engineering Design Score],0,0,)</f>
        <v>0</v>
      </c>
      <c r="Z12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25" s="31">
        <f t="shared" si="3"/>
        <v>8</v>
      </c>
      <c r="AB125" s="31"/>
    </row>
    <row r="126" spans="1:28" ht="21" customHeight="1" x14ac:dyDescent="0.25">
      <c r="A126">
        <f>_xlfn.XLOOKUP(124,OfficialTeamList[Row],OfficialTeamList[Team Number],"ERROR",0)</f>
        <v>0</v>
      </c>
      <c r="B126" s="27" t="str">
        <f>_xlfn.XLOOKUP(TournamentData[[#This Row],[Team Number]],OfficialTeamList[Team Number],OfficialTeamList[Team Name],"",0,)</f>
        <v/>
      </c>
      <c r="C126" s="28">
        <f>IF(TournamentData[[#This Row],[Team Number]]="","",_xlfn.XLOOKUP(TournamentData[[#This Row],[Team Number]],RobotGameScores[Team Number],RobotGameScores[Match 1 Score],0,0,))</f>
        <v>0</v>
      </c>
      <c r="D126" s="28">
        <f>IF(TournamentData[[#This Row],[Team Number]]="","",_xlfn.XLOOKUP(TournamentData[[#This Row],[Team Number]],RobotGameScores[Team Number],RobotGameScores[Match 2 Score],0,0,))</f>
        <v>0</v>
      </c>
      <c r="E126" s="28">
        <f>IF(TournamentData[[#This Row],[Team Number]]="","",_xlfn.XLOOKUP(TournamentData[[#This Row],[Team Number]],RobotGameScores[Team Number],RobotGameScores[Match 3 Score],0,0,))</f>
        <v>0</v>
      </c>
      <c r="F126" s="28">
        <f>IF(TournamentData[[#This Row],[Team Number]]="","",_xlfn.XLOOKUP(TournamentData[[#This Row],[Team Number]],RobotGameScores[Team Number],RobotGameScores[Match 4 Score],0,0,))</f>
        <v>0</v>
      </c>
      <c r="G126" s="28">
        <f>IF(TournamentData[[#This Row],[Team Number]]="","",_xlfn.XLOOKUP(TournamentData[[#This Row],[Team Number]],RobotGameScores[Team Number],RobotGameScores[Match 5 Score],0,0,))</f>
        <v>0</v>
      </c>
      <c r="H126" s="28" t="str">
        <f>IF(TournamentData[[#This Row],[Team Name]]="","",_xlfn.XLOOKUP(TournamentData[[#This Row],[Team Name]],RobotGameScores[Team Name],RobotGameScores[Match 6 Score],0,0,))</f>
        <v/>
      </c>
      <c r="I126" s="28">
        <v>0</v>
      </c>
      <c r="J126" s="28">
        <f>SUM(TournamentData[[#This Row],[Match Score 1]:[Match Score 6]])/NumberOfRounds</f>
        <v>0</v>
      </c>
      <c r="K126" s="60">
        <f>IF(TournamentData[[#This Row],[Team Number]]="","",1+COUNTIFS($J$3:$J$201,"&gt;"&amp;J126)+COUNTIFS($J$3:$J$201,J126,$I$3:$I$201,"&gt;"&amp;I126))</f>
        <v>9</v>
      </c>
      <c r="L126" s="28">
        <f>IF(TournamentData[[#This Row],[Team Number]]="","",_xlfn.XLOOKUP(TournamentData[[#This Row],[Team Number]],CoreValuesResults[Team Number],CoreValuesResults[Core Values Rank],NumberOfTeams+1,0,))</f>
        <v>9</v>
      </c>
      <c r="M126" s="28">
        <f>IF(TournamentData[[#This Row],[Team Number]]="","",_xlfn.XLOOKUP(TournamentData[[#This Row],[Team Number]],InnovationProjectResults[Team Number],InnovationProjectResults[Innovation Project Rank],NumberOfTeams+1,0,))</f>
        <v>9</v>
      </c>
      <c r="N126" s="28">
        <f>IF(TournamentData[[#This Row],[Team Number]]="","",_xlfn.XLOOKUP(TournamentData[[#This Row],[Team Number]],RobotDesignResults[Team Number],RobotDesignResults[Engineering Design Rank],NumberOfTeams+1,0,))</f>
        <v>9</v>
      </c>
      <c r="O12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26" s="29">
        <f>IF(TournamentData[[#This Row],[Team Number]]="","",IF(O126,RANK(O126,O$3:O$202,1)-COUNTIF(O$3:O$202,0),NumberOfTeams+1))</f>
        <v>9</v>
      </c>
      <c r="Q126" s="30">
        <f>_xlfn.XLOOKUP(TournamentData[[#This Row],[Team Number]],CoreValuesResults[Team Number],CoreValuesResults[Inspiration Selection],0,0,)</f>
        <v>0</v>
      </c>
      <c r="R126" s="33">
        <f>_xlfn.XLOOKUP(TournamentData[[#This Row],[Team Number]],CoreValuesResults[Team Number],CoreValuesResults[Rising All-Star Selection],0,0,)</f>
        <v>0</v>
      </c>
      <c r="S12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26" s="31"/>
      <c r="U126" s="31"/>
      <c r="V126" s="32"/>
      <c r="W126" s="91">
        <f>_xlfn.XLOOKUP(TournamentData[[#This Row],[Team Number]],CoreValuesResults[Team Number],CoreValuesResults[Core Values Score],0,0,)</f>
        <v>0</v>
      </c>
      <c r="X126" s="91">
        <f>_xlfn.XLOOKUP(TournamentData[[#This Row],[Team Number]],InnovationProjectResults[Team Number],InnovationProjectResults[Innovation Project Score],0,0,)</f>
        <v>0</v>
      </c>
      <c r="Y126" s="91">
        <f>_xlfn.XLOOKUP(TournamentData[[#This Row],[Team Number]],RobotDesignResults[Team Number],RobotDesignResults[Engineering Design Score],0,0,)</f>
        <v>0</v>
      </c>
      <c r="Z12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26" s="31">
        <f t="shared" si="3"/>
        <v>8</v>
      </c>
      <c r="AB126" s="31"/>
    </row>
    <row r="127" spans="1:28" ht="21" customHeight="1" x14ac:dyDescent="0.25">
      <c r="A127">
        <f>_xlfn.XLOOKUP(125,OfficialTeamList[Row],OfficialTeamList[Team Number],"ERROR",0)</f>
        <v>0</v>
      </c>
      <c r="B127" s="27" t="str">
        <f>_xlfn.XLOOKUP(TournamentData[[#This Row],[Team Number]],OfficialTeamList[Team Number],OfficialTeamList[Team Name],"",0,)</f>
        <v/>
      </c>
      <c r="C127" s="28">
        <f>IF(TournamentData[[#This Row],[Team Number]]="","",_xlfn.XLOOKUP(TournamentData[[#This Row],[Team Number]],RobotGameScores[Team Number],RobotGameScores[Match 1 Score],0,0,))</f>
        <v>0</v>
      </c>
      <c r="D127" s="28">
        <f>IF(TournamentData[[#This Row],[Team Number]]="","",_xlfn.XLOOKUP(TournamentData[[#This Row],[Team Number]],RobotGameScores[Team Number],RobotGameScores[Match 2 Score],0,0,))</f>
        <v>0</v>
      </c>
      <c r="E127" s="28">
        <f>IF(TournamentData[[#This Row],[Team Number]]="","",_xlfn.XLOOKUP(TournamentData[[#This Row],[Team Number]],RobotGameScores[Team Number],RobotGameScores[Match 3 Score],0,0,))</f>
        <v>0</v>
      </c>
      <c r="F127" s="28">
        <f>IF(TournamentData[[#This Row],[Team Number]]="","",_xlfn.XLOOKUP(TournamentData[[#This Row],[Team Number]],RobotGameScores[Team Number],RobotGameScores[Match 4 Score],0,0,))</f>
        <v>0</v>
      </c>
      <c r="G127" s="28">
        <f>IF(TournamentData[[#This Row],[Team Number]]="","",_xlfn.XLOOKUP(TournamentData[[#This Row],[Team Number]],RobotGameScores[Team Number],RobotGameScores[Match 5 Score],0,0,))</f>
        <v>0</v>
      </c>
      <c r="H127" s="28" t="str">
        <f>IF(TournamentData[[#This Row],[Team Name]]="","",_xlfn.XLOOKUP(TournamentData[[#This Row],[Team Name]],RobotGameScores[Team Name],RobotGameScores[Match 6 Score],0,0,))</f>
        <v/>
      </c>
      <c r="I127" s="28">
        <v>0</v>
      </c>
      <c r="J127" s="28">
        <f>SUM(TournamentData[[#This Row],[Match Score 1]:[Match Score 6]])/NumberOfRounds</f>
        <v>0</v>
      </c>
      <c r="K127" s="59">
        <f>IF(TournamentData[[#This Row],[Team Number]]="","",1+COUNTIFS($J$3:$J$201,"&gt;"&amp;J127)+COUNTIFS($J$3:$J$201,J127,$I$3:$I$201,"&gt;"&amp;I127))</f>
        <v>9</v>
      </c>
      <c r="L127" s="28">
        <f>IF(TournamentData[[#This Row],[Team Number]]="","",_xlfn.XLOOKUP(TournamentData[[#This Row],[Team Number]],CoreValuesResults[Team Number],CoreValuesResults[Core Values Rank],NumberOfTeams+1,0,))</f>
        <v>9</v>
      </c>
      <c r="M127" s="28">
        <f>IF(TournamentData[[#This Row],[Team Number]]="","",_xlfn.XLOOKUP(TournamentData[[#This Row],[Team Number]],InnovationProjectResults[Team Number],InnovationProjectResults[Innovation Project Rank],NumberOfTeams+1,0,))</f>
        <v>9</v>
      </c>
      <c r="N127" s="28">
        <f>IF(TournamentData[[#This Row],[Team Number]]="","",_xlfn.XLOOKUP(TournamentData[[#This Row],[Team Number]],RobotDesignResults[Team Number],RobotDesignResults[Engineering Design Rank],NumberOfTeams+1,0,))</f>
        <v>9</v>
      </c>
      <c r="O12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27" s="29">
        <f>IF(TournamentData[[#This Row],[Team Number]]="","",IF(O127,RANK(O127,O$3:O$202,1)-COUNTIF(O$3:O$202,0),NumberOfTeams+1))</f>
        <v>9</v>
      </c>
      <c r="Q127" s="30">
        <f>_xlfn.XLOOKUP(TournamentData[[#This Row],[Team Number]],CoreValuesResults[Team Number],CoreValuesResults[Inspiration Selection],0,0,)</f>
        <v>0</v>
      </c>
      <c r="R127" s="33">
        <f>_xlfn.XLOOKUP(TournamentData[[#This Row],[Team Number]],CoreValuesResults[Team Number],CoreValuesResults[Rising All-Star Selection],0,0,)</f>
        <v>0</v>
      </c>
      <c r="S12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27" s="31"/>
      <c r="U127" s="31"/>
      <c r="V127" s="32"/>
      <c r="W127" s="91">
        <f>_xlfn.XLOOKUP(TournamentData[[#This Row],[Team Number]],CoreValuesResults[Team Number],CoreValuesResults[Core Values Score],0,0,)</f>
        <v>0</v>
      </c>
      <c r="X127" s="91">
        <f>_xlfn.XLOOKUP(TournamentData[[#This Row],[Team Number]],InnovationProjectResults[Team Number],InnovationProjectResults[Innovation Project Score],0,0,)</f>
        <v>0</v>
      </c>
      <c r="Y127" s="91">
        <f>_xlfn.XLOOKUP(TournamentData[[#This Row],[Team Number]],RobotDesignResults[Team Number],RobotDesignResults[Engineering Design Score],0,0,)</f>
        <v>0</v>
      </c>
      <c r="Z12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27" s="31">
        <f t="shared" si="3"/>
        <v>8</v>
      </c>
      <c r="AB127" s="31"/>
    </row>
    <row r="128" spans="1:28" ht="21" customHeight="1" x14ac:dyDescent="0.25">
      <c r="A128">
        <f>_xlfn.XLOOKUP(126,OfficialTeamList[Row],OfficialTeamList[Team Number],"ERROR",0)</f>
        <v>0</v>
      </c>
      <c r="B128" s="27" t="str">
        <f>_xlfn.XLOOKUP(TournamentData[[#This Row],[Team Number]],OfficialTeamList[Team Number],OfficialTeamList[Team Name],"",0,)</f>
        <v/>
      </c>
      <c r="C128" s="28">
        <f>IF(TournamentData[[#This Row],[Team Number]]="","",_xlfn.XLOOKUP(TournamentData[[#This Row],[Team Number]],RobotGameScores[Team Number],RobotGameScores[Match 1 Score],0,0,))</f>
        <v>0</v>
      </c>
      <c r="D128" s="28">
        <f>IF(TournamentData[[#This Row],[Team Number]]="","",_xlfn.XLOOKUP(TournamentData[[#This Row],[Team Number]],RobotGameScores[Team Number],RobotGameScores[Match 2 Score],0,0,))</f>
        <v>0</v>
      </c>
      <c r="E128" s="28">
        <f>IF(TournamentData[[#This Row],[Team Number]]="","",_xlfn.XLOOKUP(TournamentData[[#This Row],[Team Number]],RobotGameScores[Team Number],RobotGameScores[Match 3 Score],0,0,))</f>
        <v>0</v>
      </c>
      <c r="F128" s="28">
        <f>IF(TournamentData[[#This Row],[Team Number]]="","",_xlfn.XLOOKUP(TournamentData[[#This Row],[Team Number]],RobotGameScores[Team Number],RobotGameScores[Match 4 Score],0,0,))</f>
        <v>0</v>
      </c>
      <c r="G128" s="28">
        <f>IF(TournamentData[[#This Row],[Team Number]]="","",_xlfn.XLOOKUP(TournamentData[[#This Row],[Team Number]],RobotGameScores[Team Number],RobotGameScores[Match 5 Score],0,0,))</f>
        <v>0</v>
      </c>
      <c r="H128" s="28" t="str">
        <f>IF(TournamentData[[#This Row],[Team Name]]="","",_xlfn.XLOOKUP(TournamentData[[#This Row],[Team Name]],RobotGameScores[Team Name],RobotGameScores[Match 6 Score],0,0,))</f>
        <v/>
      </c>
      <c r="I128" s="28">
        <v>0</v>
      </c>
      <c r="J128" s="28">
        <f>SUM(TournamentData[[#This Row],[Match Score 1]:[Match Score 6]])/NumberOfRounds</f>
        <v>0</v>
      </c>
      <c r="K128" s="60">
        <f>IF(TournamentData[[#This Row],[Team Number]]="","",1+COUNTIFS($J$3:$J$201,"&gt;"&amp;J128)+COUNTIFS($J$3:$J$201,J128,$I$3:$I$201,"&gt;"&amp;I128))</f>
        <v>9</v>
      </c>
      <c r="L128" s="28">
        <f>IF(TournamentData[[#This Row],[Team Number]]="","",_xlfn.XLOOKUP(TournamentData[[#This Row],[Team Number]],CoreValuesResults[Team Number],CoreValuesResults[Core Values Rank],NumberOfTeams+1,0,))</f>
        <v>9</v>
      </c>
      <c r="M128" s="28">
        <f>IF(TournamentData[[#This Row],[Team Number]]="","",_xlfn.XLOOKUP(TournamentData[[#This Row],[Team Number]],InnovationProjectResults[Team Number],InnovationProjectResults[Innovation Project Rank],NumberOfTeams+1,0,))</f>
        <v>9</v>
      </c>
      <c r="N128" s="28">
        <f>IF(TournamentData[[#This Row],[Team Number]]="","",_xlfn.XLOOKUP(TournamentData[[#This Row],[Team Number]],RobotDesignResults[Team Number],RobotDesignResults[Engineering Design Rank],NumberOfTeams+1,0,))</f>
        <v>9</v>
      </c>
      <c r="O12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28" s="29">
        <f>IF(TournamentData[[#This Row],[Team Number]]="","",IF(O128,RANK(O128,O$3:O$202,1)-COUNTIF(O$3:O$202,0),NumberOfTeams+1))</f>
        <v>9</v>
      </c>
      <c r="Q128" s="30">
        <f>_xlfn.XLOOKUP(TournamentData[[#This Row],[Team Number]],CoreValuesResults[Team Number],CoreValuesResults[Inspiration Selection],0,0,)</f>
        <v>0</v>
      </c>
      <c r="R128" s="33">
        <f>_xlfn.XLOOKUP(TournamentData[[#This Row],[Team Number]],CoreValuesResults[Team Number],CoreValuesResults[Rising All-Star Selection],0,0,)</f>
        <v>0</v>
      </c>
      <c r="S12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28" s="31"/>
      <c r="U128" s="31"/>
      <c r="V128" s="32"/>
      <c r="W128" s="91">
        <f>_xlfn.XLOOKUP(TournamentData[[#This Row],[Team Number]],CoreValuesResults[Team Number],CoreValuesResults[Core Values Score],0,0,)</f>
        <v>0</v>
      </c>
      <c r="X128" s="91">
        <f>_xlfn.XLOOKUP(TournamentData[[#This Row],[Team Number]],InnovationProjectResults[Team Number],InnovationProjectResults[Innovation Project Score],0,0,)</f>
        <v>0</v>
      </c>
      <c r="Y128" s="91">
        <f>_xlfn.XLOOKUP(TournamentData[[#This Row],[Team Number]],RobotDesignResults[Team Number],RobotDesignResults[Engineering Design Score],0,0,)</f>
        <v>0</v>
      </c>
      <c r="Z12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28" s="31">
        <f t="shared" si="3"/>
        <v>8</v>
      </c>
      <c r="AB128" s="31"/>
    </row>
    <row r="129" spans="1:28" ht="21" customHeight="1" x14ac:dyDescent="0.25">
      <c r="A129">
        <f>_xlfn.XLOOKUP(127,OfficialTeamList[Row],OfficialTeamList[Team Number],"ERROR",0)</f>
        <v>0</v>
      </c>
      <c r="B129" s="27" t="str">
        <f>_xlfn.XLOOKUP(TournamentData[[#This Row],[Team Number]],OfficialTeamList[Team Number],OfficialTeamList[Team Name],"",0,)</f>
        <v/>
      </c>
      <c r="C129" s="28">
        <f>IF(TournamentData[[#This Row],[Team Number]]="","",_xlfn.XLOOKUP(TournamentData[[#This Row],[Team Number]],RobotGameScores[Team Number],RobotGameScores[Match 1 Score],0,0,))</f>
        <v>0</v>
      </c>
      <c r="D129" s="28">
        <f>IF(TournamentData[[#This Row],[Team Number]]="","",_xlfn.XLOOKUP(TournamentData[[#This Row],[Team Number]],RobotGameScores[Team Number],RobotGameScores[Match 2 Score],0,0,))</f>
        <v>0</v>
      </c>
      <c r="E129" s="28">
        <f>IF(TournamentData[[#This Row],[Team Number]]="","",_xlfn.XLOOKUP(TournamentData[[#This Row],[Team Number]],RobotGameScores[Team Number],RobotGameScores[Match 3 Score],0,0,))</f>
        <v>0</v>
      </c>
      <c r="F129" s="28">
        <f>IF(TournamentData[[#This Row],[Team Number]]="","",_xlfn.XLOOKUP(TournamentData[[#This Row],[Team Number]],RobotGameScores[Team Number],RobotGameScores[Match 4 Score],0,0,))</f>
        <v>0</v>
      </c>
      <c r="G129" s="28">
        <f>IF(TournamentData[[#This Row],[Team Number]]="","",_xlfn.XLOOKUP(TournamentData[[#This Row],[Team Number]],RobotGameScores[Team Number],RobotGameScores[Match 5 Score],0,0,))</f>
        <v>0</v>
      </c>
      <c r="H129" s="28" t="str">
        <f>IF(TournamentData[[#This Row],[Team Name]]="","",_xlfn.XLOOKUP(TournamentData[[#This Row],[Team Name]],RobotGameScores[Team Name],RobotGameScores[Match 6 Score],0,0,))</f>
        <v/>
      </c>
      <c r="I129" s="28">
        <v>0</v>
      </c>
      <c r="J129" s="28">
        <f>SUM(TournamentData[[#This Row],[Match Score 1]:[Match Score 6]])/NumberOfRounds</f>
        <v>0</v>
      </c>
      <c r="K129" s="59">
        <f>IF(TournamentData[[#This Row],[Team Number]]="","",1+COUNTIFS($J$3:$J$201,"&gt;"&amp;J129)+COUNTIFS($J$3:$J$201,J129,$I$3:$I$201,"&gt;"&amp;I129))</f>
        <v>9</v>
      </c>
      <c r="L129" s="28">
        <f>IF(TournamentData[[#This Row],[Team Number]]="","",_xlfn.XLOOKUP(TournamentData[[#This Row],[Team Number]],CoreValuesResults[Team Number],CoreValuesResults[Core Values Rank],NumberOfTeams+1,0,))</f>
        <v>9</v>
      </c>
      <c r="M129" s="28">
        <f>IF(TournamentData[[#This Row],[Team Number]]="","",_xlfn.XLOOKUP(TournamentData[[#This Row],[Team Number]],InnovationProjectResults[Team Number],InnovationProjectResults[Innovation Project Rank],NumberOfTeams+1,0,))</f>
        <v>9</v>
      </c>
      <c r="N129" s="28">
        <f>IF(TournamentData[[#This Row],[Team Number]]="","",_xlfn.XLOOKUP(TournamentData[[#This Row],[Team Number]],RobotDesignResults[Team Number],RobotDesignResults[Engineering Design Rank],NumberOfTeams+1,0,))</f>
        <v>9</v>
      </c>
      <c r="O12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29" s="29">
        <f>IF(TournamentData[[#This Row],[Team Number]]="","",IF(O129,RANK(O129,O$3:O$202,1)-COUNTIF(O$3:O$202,0),NumberOfTeams+1))</f>
        <v>9</v>
      </c>
      <c r="Q129" s="30">
        <f>_xlfn.XLOOKUP(TournamentData[[#This Row],[Team Number]],CoreValuesResults[Team Number],CoreValuesResults[Inspiration Selection],0,0,)</f>
        <v>0</v>
      </c>
      <c r="R129" s="33">
        <f>_xlfn.XLOOKUP(TournamentData[[#This Row],[Team Number]],CoreValuesResults[Team Number],CoreValuesResults[Rising All-Star Selection],0,0,)</f>
        <v>0</v>
      </c>
      <c r="S12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29" s="31"/>
      <c r="U129" s="31"/>
      <c r="V129" s="32"/>
      <c r="W129" s="91">
        <f>_xlfn.XLOOKUP(TournamentData[[#This Row],[Team Number]],CoreValuesResults[Team Number],CoreValuesResults[Core Values Score],0,0,)</f>
        <v>0</v>
      </c>
      <c r="X129" s="91">
        <f>_xlfn.XLOOKUP(TournamentData[[#This Row],[Team Number]],InnovationProjectResults[Team Number],InnovationProjectResults[Innovation Project Score],0,0,)</f>
        <v>0</v>
      </c>
      <c r="Y129" s="91">
        <f>_xlfn.XLOOKUP(TournamentData[[#This Row],[Team Number]],RobotDesignResults[Team Number],RobotDesignResults[Engineering Design Score],0,0,)</f>
        <v>0</v>
      </c>
      <c r="Z12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29" s="31">
        <f t="shared" si="3"/>
        <v>8</v>
      </c>
      <c r="AB129" s="31"/>
    </row>
    <row r="130" spans="1:28" ht="21" customHeight="1" x14ac:dyDescent="0.25">
      <c r="A130">
        <f>_xlfn.XLOOKUP(128,OfficialTeamList[Row],OfficialTeamList[Team Number],"ERROR",0)</f>
        <v>0</v>
      </c>
      <c r="B130" s="27" t="str">
        <f>_xlfn.XLOOKUP(TournamentData[[#This Row],[Team Number]],OfficialTeamList[Team Number],OfficialTeamList[Team Name],"",0,)</f>
        <v/>
      </c>
      <c r="C130" s="28">
        <f>IF(TournamentData[[#This Row],[Team Number]]="","",_xlfn.XLOOKUP(TournamentData[[#This Row],[Team Number]],RobotGameScores[Team Number],RobotGameScores[Match 1 Score],0,0,))</f>
        <v>0</v>
      </c>
      <c r="D130" s="28">
        <f>IF(TournamentData[[#This Row],[Team Number]]="","",_xlfn.XLOOKUP(TournamentData[[#This Row],[Team Number]],RobotGameScores[Team Number],RobotGameScores[Match 2 Score],0,0,))</f>
        <v>0</v>
      </c>
      <c r="E130" s="28">
        <f>IF(TournamentData[[#This Row],[Team Number]]="","",_xlfn.XLOOKUP(TournamentData[[#This Row],[Team Number]],RobotGameScores[Team Number],RobotGameScores[Match 3 Score],0,0,))</f>
        <v>0</v>
      </c>
      <c r="F130" s="28">
        <f>IF(TournamentData[[#This Row],[Team Number]]="","",_xlfn.XLOOKUP(TournamentData[[#This Row],[Team Number]],RobotGameScores[Team Number],RobotGameScores[Match 4 Score],0,0,))</f>
        <v>0</v>
      </c>
      <c r="G130" s="28">
        <f>IF(TournamentData[[#This Row],[Team Number]]="","",_xlfn.XLOOKUP(TournamentData[[#This Row],[Team Number]],RobotGameScores[Team Number],RobotGameScores[Match 5 Score],0,0,))</f>
        <v>0</v>
      </c>
      <c r="H130" s="28" t="str">
        <f>IF(TournamentData[[#This Row],[Team Name]]="","",_xlfn.XLOOKUP(TournamentData[[#This Row],[Team Name]],RobotGameScores[Team Name],RobotGameScores[Match 6 Score],0,0,))</f>
        <v/>
      </c>
      <c r="I130" s="28">
        <v>0</v>
      </c>
      <c r="J130" s="28">
        <f>SUM(TournamentData[[#This Row],[Match Score 1]:[Match Score 6]])/NumberOfRounds</f>
        <v>0</v>
      </c>
      <c r="K130" s="60">
        <f>IF(TournamentData[[#This Row],[Team Number]]="","",1+COUNTIFS($J$3:$J$201,"&gt;"&amp;J130)+COUNTIFS($J$3:$J$201,J130,$I$3:$I$201,"&gt;"&amp;I130))</f>
        <v>9</v>
      </c>
      <c r="L130" s="28">
        <f>IF(TournamentData[[#This Row],[Team Number]]="","",_xlfn.XLOOKUP(TournamentData[[#This Row],[Team Number]],CoreValuesResults[Team Number],CoreValuesResults[Core Values Rank],NumberOfTeams+1,0,))</f>
        <v>9</v>
      </c>
      <c r="M130" s="28">
        <f>IF(TournamentData[[#This Row],[Team Number]]="","",_xlfn.XLOOKUP(TournamentData[[#This Row],[Team Number]],InnovationProjectResults[Team Number],InnovationProjectResults[Innovation Project Rank],NumberOfTeams+1,0,))</f>
        <v>9</v>
      </c>
      <c r="N130" s="28">
        <f>IF(TournamentData[[#This Row],[Team Number]]="","",_xlfn.XLOOKUP(TournamentData[[#This Row],[Team Number]],RobotDesignResults[Team Number],RobotDesignResults[Engineering Design Rank],NumberOfTeams+1,0,))</f>
        <v>9</v>
      </c>
      <c r="O13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30" s="29">
        <f>IF(TournamentData[[#This Row],[Team Number]]="","",IF(O130,RANK(O130,O$3:O$202,1)-COUNTIF(O$3:O$202,0),NumberOfTeams+1))</f>
        <v>9</v>
      </c>
      <c r="Q130" s="30">
        <f>_xlfn.XLOOKUP(TournamentData[[#This Row],[Team Number]],CoreValuesResults[Team Number],CoreValuesResults[Inspiration Selection],0,0,)</f>
        <v>0</v>
      </c>
      <c r="R130" s="33">
        <f>_xlfn.XLOOKUP(TournamentData[[#This Row],[Team Number]],CoreValuesResults[Team Number],CoreValuesResults[Rising All-Star Selection],0,0,)</f>
        <v>0</v>
      </c>
      <c r="S13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30" s="31"/>
      <c r="U130" s="31"/>
      <c r="V130" s="32"/>
      <c r="W130" s="91">
        <f>_xlfn.XLOOKUP(TournamentData[[#This Row],[Team Number]],CoreValuesResults[Team Number],CoreValuesResults[Core Values Score],0,0,)</f>
        <v>0</v>
      </c>
      <c r="X130" s="91">
        <f>_xlfn.XLOOKUP(TournamentData[[#This Row],[Team Number]],InnovationProjectResults[Team Number],InnovationProjectResults[Innovation Project Score],0,0,)</f>
        <v>0</v>
      </c>
      <c r="Y130" s="91">
        <f>_xlfn.XLOOKUP(TournamentData[[#This Row],[Team Number]],RobotDesignResults[Team Number],RobotDesignResults[Engineering Design Score],0,0,)</f>
        <v>0</v>
      </c>
      <c r="Z13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30" s="31">
        <f t="shared" si="3"/>
        <v>8</v>
      </c>
      <c r="AB130" s="31"/>
    </row>
    <row r="131" spans="1:28" ht="21" customHeight="1" x14ac:dyDescent="0.25">
      <c r="A131">
        <f>_xlfn.XLOOKUP(129,OfficialTeamList[Row],OfficialTeamList[Team Number],"ERROR",0)</f>
        <v>0</v>
      </c>
      <c r="B131" s="27" t="str">
        <f>_xlfn.XLOOKUP(TournamentData[[#This Row],[Team Number]],OfficialTeamList[Team Number],OfficialTeamList[Team Name],"",0,)</f>
        <v/>
      </c>
      <c r="C131" s="28">
        <f>IF(TournamentData[[#This Row],[Team Number]]="","",_xlfn.XLOOKUP(TournamentData[[#This Row],[Team Number]],RobotGameScores[Team Number],RobotGameScores[Match 1 Score],0,0,))</f>
        <v>0</v>
      </c>
      <c r="D131" s="28">
        <f>IF(TournamentData[[#This Row],[Team Number]]="","",_xlfn.XLOOKUP(TournamentData[[#This Row],[Team Number]],RobotGameScores[Team Number],RobotGameScores[Match 2 Score],0,0,))</f>
        <v>0</v>
      </c>
      <c r="E131" s="28">
        <f>IF(TournamentData[[#This Row],[Team Number]]="","",_xlfn.XLOOKUP(TournamentData[[#This Row],[Team Number]],RobotGameScores[Team Number],RobotGameScores[Match 3 Score],0,0,))</f>
        <v>0</v>
      </c>
      <c r="F131" s="28">
        <f>IF(TournamentData[[#This Row],[Team Number]]="","",_xlfn.XLOOKUP(TournamentData[[#This Row],[Team Number]],RobotGameScores[Team Number],RobotGameScores[Match 4 Score],0,0,))</f>
        <v>0</v>
      </c>
      <c r="G131" s="28">
        <f>IF(TournamentData[[#This Row],[Team Number]]="","",_xlfn.XLOOKUP(TournamentData[[#This Row],[Team Number]],RobotGameScores[Team Number],RobotGameScores[Match 5 Score],0,0,))</f>
        <v>0</v>
      </c>
      <c r="H131" s="28" t="str">
        <f>IF(TournamentData[[#This Row],[Team Name]]="","",_xlfn.XLOOKUP(TournamentData[[#This Row],[Team Name]],RobotGameScores[Team Name],RobotGameScores[Match 6 Score],0,0,))</f>
        <v/>
      </c>
      <c r="I131" s="28">
        <v>0</v>
      </c>
      <c r="J131" s="28">
        <f>SUM(TournamentData[[#This Row],[Match Score 1]:[Match Score 6]])/NumberOfRounds</f>
        <v>0</v>
      </c>
      <c r="K131" s="59">
        <f>IF(TournamentData[[#This Row],[Team Number]]="","",1+COUNTIFS($J$3:$J$201,"&gt;"&amp;J131)+COUNTIFS($J$3:$J$201,J131,$I$3:$I$201,"&gt;"&amp;I131))</f>
        <v>9</v>
      </c>
      <c r="L131" s="28">
        <f>IF(TournamentData[[#This Row],[Team Number]]="","",_xlfn.XLOOKUP(TournamentData[[#This Row],[Team Number]],CoreValuesResults[Team Number],CoreValuesResults[Core Values Rank],NumberOfTeams+1,0,))</f>
        <v>9</v>
      </c>
      <c r="M131" s="28">
        <f>IF(TournamentData[[#This Row],[Team Number]]="","",_xlfn.XLOOKUP(TournamentData[[#This Row],[Team Number]],InnovationProjectResults[Team Number],InnovationProjectResults[Innovation Project Rank],NumberOfTeams+1,0,))</f>
        <v>9</v>
      </c>
      <c r="N131" s="28">
        <f>IF(TournamentData[[#This Row],[Team Number]]="","",_xlfn.XLOOKUP(TournamentData[[#This Row],[Team Number]],RobotDesignResults[Team Number],RobotDesignResults[Engineering Design Rank],NumberOfTeams+1,0,))</f>
        <v>9</v>
      </c>
      <c r="O13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31" s="29">
        <f>IF(TournamentData[[#This Row],[Team Number]]="","",IF(O131,RANK(O131,O$3:O$202,1)-COUNTIF(O$3:O$202,0),NumberOfTeams+1))</f>
        <v>9</v>
      </c>
      <c r="Q131" s="30">
        <f>_xlfn.XLOOKUP(TournamentData[[#This Row],[Team Number]],CoreValuesResults[Team Number],CoreValuesResults[Inspiration Selection],0,0,)</f>
        <v>0</v>
      </c>
      <c r="R131" s="33">
        <f>_xlfn.XLOOKUP(TournamentData[[#This Row],[Team Number]],CoreValuesResults[Team Number],CoreValuesResults[Rising All-Star Selection],0,0,)</f>
        <v>0</v>
      </c>
      <c r="S13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31" s="31"/>
      <c r="U131" s="31"/>
      <c r="V131" s="32"/>
      <c r="W131" s="91">
        <f>_xlfn.XLOOKUP(TournamentData[[#This Row],[Team Number]],CoreValuesResults[Team Number],CoreValuesResults[Core Values Score],0,0,)</f>
        <v>0</v>
      </c>
      <c r="X131" s="91">
        <f>_xlfn.XLOOKUP(TournamentData[[#This Row],[Team Number]],InnovationProjectResults[Team Number],InnovationProjectResults[Innovation Project Score],0,0,)</f>
        <v>0</v>
      </c>
      <c r="Y131" s="91">
        <f>_xlfn.XLOOKUP(TournamentData[[#This Row],[Team Number]],RobotDesignResults[Team Number],RobotDesignResults[Engineering Design Score],0,0,)</f>
        <v>0</v>
      </c>
      <c r="Z13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31" s="31">
        <f t="shared" ref="AA131:AA162" si="4">IF(Z131,_xlfn.RANK.EQ(Z131,Z$3:Z$110,0),NumberOfTeams)</f>
        <v>8</v>
      </c>
      <c r="AB131" s="31"/>
    </row>
    <row r="132" spans="1:28" ht="21" customHeight="1" x14ac:dyDescent="0.25">
      <c r="A132">
        <f>_xlfn.XLOOKUP(130,OfficialTeamList[Row],OfficialTeamList[Team Number],"ERROR",0)</f>
        <v>0</v>
      </c>
      <c r="B132" s="27" t="str">
        <f>_xlfn.XLOOKUP(TournamentData[[#This Row],[Team Number]],OfficialTeamList[Team Number],OfficialTeamList[Team Name],"",0,)</f>
        <v/>
      </c>
      <c r="C132" s="28">
        <f>IF(TournamentData[[#This Row],[Team Number]]="","",_xlfn.XLOOKUP(TournamentData[[#This Row],[Team Number]],RobotGameScores[Team Number],RobotGameScores[Match 1 Score],0,0,))</f>
        <v>0</v>
      </c>
      <c r="D132" s="28">
        <f>IF(TournamentData[[#This Row],[Team Number]]="","",_xlfn.XLOOKUP(TournamentData[[#This Row],[Team Number]],RobotGameScores[Team Number],RobotGameScores[Match 2 Score],0,0,))</f>
        <v>0</v>
      </c>
      <c r="E132" s="28">
        <f>IF(TournamentData[[#This Row],[Team Number]]="","",_xlfn.XLOOKUP(TournamentData[[#This Row],[Team Number]],RobotGameScores[Team Number],RobotGameScores[Match 3 Score],0,0,))</f>
        <v>0</v>
      </c>
      <c r="F132" s="28">
        <f>IF(TournamentData[[#This Row],[Team Number]]="","",_xlfn.XLOOKUP(TournamentData[[#This Row],[Team Number]],RobotGameScores[Team Number],RobotGameScores[Match 4 Score],0,0,))</f>
        <v>0</v>
      </c>
      <c r="G132" s="28">
        <f>IF(TournamentData[[#This Row],[Team Number]]="","",_xlfn.XLOOKUP(TournamentData[[#This Row],[Team Number]],RobotGameScores[Team Number],RobotGameScores[Match 5 Score],0,0,))</f>
        <v>0</v>
      </c>
      <c r="H132" s="28" t="str">
        <f>IF(TournamentData[[#This Row],[Team Name]]="","",_xlfn.XLOOKUP(TournamentData[[#This Row],[Team Name]],RobotGameScores[Team Name],RobotGameScores[Match 6 Score],0,0,))</f>
        <v/>
      </c>
      <c r="I132" s="28">
        <v>0</v>
      </c>
      <c r="J132" s="28">
        <f>SUM(TournamentData[[#This Row],[Match Score 1]:[Match Score 6]])/NumberOfRounds</f>
        <v>0</v>
      </c>
      <c r="K132" s="60">
        <f>IF(TournamentData[[#This Row],[Team Number]]="","",1+COUNTIFS($J$3:$J$201,"&gt;"&amp;J132)+COUNTIFS($J$3:$J$201,J132,$I$3:$I$201,"&gt;"&amp;I132))</f>
        <v>9</v>
      </c>
      <c r="L132" s="28">
        <f>IF(TournamentData[[#This Row],[Team Number]]="","",_xlfn.XLOOKUP(TournamentData[[#This Row],[Team Number]],CoreValuesResults[Team Number],CoreValuesResults[Core Values Rank],NumberOfTeams+1,0,))</f>
        <v>9</v>
      </c>
      <c r="M132" s="28">
        <f>IF(TournamentData[[#This Row],[Team Number]]="","",_xlfn.XLOOKUP(TournamentData[[#This Row],[Team Number]],InnovationProjectResults[Team Number],InnovationProjectResults[Innovation Project Rank],NumberOfTeams+1,0,))</f>
        <v>9</v>
      </c>
      <c r="N132" s="28">
        <f>IF(TournamentData[[#This Row],[Team Number]]="","",_xlfn.XLOOKUP(TournamentData[[#This Row],[Team Number]],RobotDesignResults[Team Number],RobotDesignResults[Engineering Design Rank],NumberOfTeams+1,0,))</f>
        <v>9</v>
      </c>
      <c r="O13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32" s="29">
        <f>IF(TournamentData[[#This Row],[Team Number]]="","",IF(O132,RANK(O132,O$3:O$202,1)-COUNTIF(O$3:O$202,0),NumberOfTeams+1))</f>
        <v>9</v>
      </c>
      <c r="Q132" s="30">
        <f>_xlfn.XLOOKUP(TournamentData[[#This Row],[Team Number]],CoreValuesResults[Team Number],CoreValuesResults[Inspiration Selection],0,0,)</f>
        <v>0</v>
      </c>
      <c r="R132" s="33">
        <f>_xlfn.XLOOKUP(TournamentData[[#This Row],[Team Number]],CoreValuesResults[Team Number],CoreValuesResults[Rising All-Star Selection],0,0,)</f>
        <v>0</v>
      </c>
      <c r="S13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32" s="31"/>
      <c r="U132" s="31"/>
      <c r="V132" s="32"/>
      <c r="W132" s="91">
        <f>_xlfn.XLOOKUP(TournamentData[[#This Row],[Team Number]],CoreValuesResults[Team Number],CoreValuesResults[Core Values Score],0,0,)</f>
        <v>0</v>
      </c>
      <c r="X132" s="91">
        <f>_xlfn.XLOOKUP(TournamentData[[#This Row],[Team Number]],InnovationProjectResults[Team Number],InnovationProjectResults[Innovation Project Score],0,0,)</f>
        <v>0</v>
      </c>
      <c r="Y132" s="91">
        <f>_xlfn.XLOOKUP(TournamentData[[#This Row],[Team Number]],RobotDesignResults[Team Number],RobotDesignResults[Engineering Design Score],0,0,)</f>
        <v>0</v>
      </c>
      <c r="Z13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32" s="31">
        <f t="shared" si="4"/>
        <v>8</v>
      </c>
      <c r="AB132" s="31"/>
    </row>
    <row r="133" spans="1:28" ht="21" customHeight="1" x14ac:dyDescent="0.25">
      <c r="A133">
        <f>_xlfn.XLOOKUP(131,OfficialTeamList[Row],OfficialTeamList[Team Number],"ERROR",0)</f>
        <v>0</v>
      </c>
      <c r="B133" s="27" t="str">
        <f>_xlfn.XLOOKUP(TournamentData[[#This Row],[Team Number]],OfficialTeamList[Team Number],OfficialTeamList[Team Name],"",0,)</f>
        <v/>
      </c>
      <c r="C133" s="28">
        <f>IF(TournamentData[[#This Row],[Team Number]]="","",_xlfn.XLOOKUP(TournamentData[[#This Row],[Team Number]],RobotGameScores[Team Number],RobotGameScores[Match 1 Score],0,0,))</f>
        <v>0</v>
      </c>
      <c r="D133" s="28">
        <f>IF(TournamentData[[#This Row],[Team Number]]="","",_xlfn.XLOOKUP(TournamentData[[#This Row],[Team Number]],RobotGameScores[Team Number],RobotGameScores[Match 2 Score],0,0,))</f>
        <v>0</v>
      </c>
      <c r="E133" s="28">
        <f>IF(TournamentData[[#This Row],[Team Number]]="","",_xlfn.XLOOKUP(TournamentData[[#This Row],[Team Number]],RobotGameScores[Team Number],RobotGameScores[Match 3 Score],0,0,))</f>
        <v>0</v>
      </c>
      <c r="F133" s="28">
        <f>IF(TournamentData[[#This Row],[Team Number]]="","",_xlfn.XLOOKUP(TournamentData[[#This Row],[Team Number]],RobotGameScores[Team Number],RobotGameScores[Match 4 Score],0,0,))</f>
        <v>0</v>
      </c>
      <c r="G133" s="28">
        <f>IF(TournamentData[[#This Row],[Team Number]]="","",_xlfn.XLOOKUP(TournamentData[[#This Row],[Team Number]],RobotGameScores[Team Number],RobotGameScores[Match 5 Score],0,0,))</f>
        <v>0</v>
      </c>
      <c r="H133" s="28" t="str">
        <f>IF(TournamentData[[#This Row],[Team Name]]="","",_xlfn.XLOOKUP(TournamentData[[#This Row],[Team Name]],RobotGameScores[Team Name],RobotGameScores[Match 6 Score],0,0,))</f>
        <v/>
      </c>
      <c r="I133" s="28">
        <v>0</v>
      </c>
      <c r="J133" s="28">
        <f>SUM(TournamentData[[#This Row],[Match Score 1]:[Match Score 6]])/NumberOfRounds</f>
        <v>0</v>
      </c>
      <c r="K133" s="59">
        <f>IF(TournamentData[[#This Row],[Team Number]]="","",1+COUNTIFS($J$3:$J$201,"&gt;"&amp;J133)+COUNTIFS($J$3:$J$201,J133,$I$3:$I$201,"&gt;"&amp;I133))</f>
        <v>9</v>
      </c>
      <c r="L133" s="28">
        <f>IF(TournamentData[[#This Row],[Team Number]]="","",_xlfn.XLOOKUP(TournamentData[[#This Row],[Team Number]],CoreValuesResults[Team Number],CoreValuesResults[Core Values Rank],NumberOfTeams+1,0,))</f>
        <v>9</v>
      </c>
      <c r="M133" s="28">
        <f>IF(TournamentData[[#This Row],[Team Number]]="","",_xlfn.XLOOKUP(TournamentData[[#This Row],[Team Number]],InnovationProjectResults[Team Number],InnovationProjectResults[Innovation Project Rank],NumberOfTeams+1,0,))</f>
        <v>9</v>
      </c>
      <c r="N133" s="28">
        <f>IF(TournamentData[[#This Row],[Team Number]]="","",_xlfn.XLOOKUP(TournamentData[[#This Row],[Team Number]],RobotDesignResults[Team Number],RobotDesignResults[Engineering Design Rank],NumberOfTeams+1,0,))</f>
        <v>9</v>
      </c>
      <c r="O13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33" s="29">
        <f>IF(TournamentData[[#This Row],[Team Number]]="","",IF(O133,RANK(O133,O$3:O$202,1)-COUNTIF(O$3:O$202,0),NumberOfTeams+1))</f>
        <v>9</v>
      </c>
      <c r="Q133" s="30">
        <f>_xlfn.XLOOKUP(TournamentData[[#This Row],[Team Number]],CoreValuesResults[Team Number],CoreValuesResults[Inspiration Selection],0,0,)</f>
        <v>0</v>
      </c>
      <c r="R133" s="33">
        <f>_xlfn.XLOOKUP(TournamentData[[#This Row],[Team Number]],CoreValuesResults[Team Number],CoreValuesResults[Rising All-Star Selection],0,0,)</f>
        <v>0</v>
      </c>
      <c r="S13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33" s="31"/>
      <c r="U133" s="31"/>
      <c r="V133" s="32"/>
      <c r="W133" s="91">
        <f>_xlfn.XLOOKUP(TournamentData[[#This Row],[Team Number]],CoreValuesResults[Team Number],CoreValuesResults[Core Values Score],0,0,)</f>
        <v>0</v>
      </c>
      <c r="X133" s="91">
        <f>_xlfn.XLOOKUP(TournamentData[[#This Row],[Team Number]],InnovationProjectResults[Team Number],InnovationProjectResults[Innovation Project Score],0,0,)</f>
        <v>0</v>
      </c>
      <c r="Y133" s="91">
        <f>_xlfn.XLOOKUP(TournamentData[[#This Row],[Team Number]],RobotDesignResults[Team Number],RobotDesignResults[Engineering Design Score],0,0,)</f>
        <v>0</v>
      </c>
      <c r="Z13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33" s="31">
        <f t="shared" si="4"/>
        <v>8</v>
      </c>
      <c r="AB133" s="31"/>
    </row>
    <row r="134" spans="1:28" ht="21" customHeight="1" x14ac:dyDescent="0.25">
      <c r="A134">
        <f>_xlfn.XLOOKUP(132,OfficialTeamList[Row],OfficialTeamList[Team Number],"ERROR",0)</f>
        <v>0</v>
      </c>
      <c r="B134" s="27" t="str">
        <f>_xlfn.XLOOKUP(TournamentData[[#This Row],[Team Number]],OfficialTeamList[Team Number],OfficialTeamList[Team Name],"",0,)</f>
        <v/>
      </c>
      <c r="C134" s="28">
        <f>IF(TournamentData[[#This Row],[Team Number]]="","",_xlfn.XLOOKUP(TournamentData[[#This Row],[Team Number]],RobotGameScores[Team Number],RobotGameScores[Match 1 Score],0,0,))</f>
        <v>0</v>
      </c>
      <c r="D134" s="28">
        <f>IF(TournamentData[[#This Row],[Team Number]]="","",_xlfn.XLOOKUP(TournamentData[[#This Row],[Team Number]],RobotGameScores[Team Number],RobotGameScores[Match 2 Score],0,0,))</f>
        <v>0</v>
      </c>
      <c r="E134" s="28">
        <f>IF(TournamentData[[#This Row],[Team Number]]="","",_xlfn.XLOOKUP(TournamentData[[#This Row],[Team Number]],RobotGameScores[Team Number],RobotGameScores[Match 3 Score],0,0,))</f>
        <v>0</v>
      </c>
      <c r="F134" s="28">
        <f>IF(TournamentData[[#This Row],[Team Number]]="","",_xlfn.XLOOKUP(TournamentData[[#This Row],[Team Number]],RobotGameScores[Team Number],RobotGameScores[Match 4 Score],0,0,))</f>
        <v>0</v>
      </c>
      <c r="G134" s="28">
        <f>IF(TournamentData[[#This Row],[Team Number]]="","",_xlfn.XLOOKUP(TournamentData[[#This Row],[Team Number]],RobotGameScores[Team Number],RobotGameScores[Match 5 Score],0,0,))</f>
        <v>0</v>
      </c>
      <c r="H134" s="28" t="str">
        <f>IF(TournamentData[[#This Row],[Team Name]]="","",_xlfn.XLOOKUP(TournamentData[[#This Row],[Team Name]],RobotGameScores[Team Name],RobotGameScores[Match 6 Score],0,0,))</f>
        <v/>
      </c>
      <c r="I134" s="28">
        <v>0</v>
      </c>
      <c r="J134" s="28">
        <f>SUM(TournamentData[[#This Row],[Match Score 1]:[Match Score 6]])/NumberOfRounds</f>
        <v>0</v>
      </c>
      <c r="K134" s="60">
        <f>IF(TournamentData[[#This Row],[Team Number]]="","",1+COUNTIFS($J$3:$J$201,"&gt;"&amp;J134)+COUNTIFS($J$3:$J$201,J134,$I$3:$I$201,"&gt;"&amp;I134))</f>
        <v>9</v>
      </c>
      <c r="L134" s="28">
        <f>IF(TournamentData[[#This Row],[Team Number]]="","",_xlfn.XLOOKUP(TournamentData[[#This Row],[Team Number]],CoreValuesResults[Team Number],CoreValuesResults[Core Values Rank],NumberOfTeams+1,0,))</f>
        <v>9</v>
      </c>
      <c r="M134" s="28">
        <f>IF(TournamentData[[#This Row],[Team Number]]="","",_xlfn.XLOOKUP(TournamentData[[#This Row],[Team Number]],InnovationProjectResults[Team Number],InnovationProjectResults[Innovation Project Rank],NumberOfTeams+1,0,))</f>
        <v>9</v>
      </c>
      <c r="N134" s="28">
        <f>IF(TournamentData[[#This Row],[Team Number]]="","",_xlfn.XLOOKUP(TournamentData[[#This Row],[Team Number]],RobotDesignResults[Team Number],RobotDesignResults[Engineering Design Rank],NumberOfTeams+1,0,))</f>
        <v>9</v>
      </c>
      <c r="O13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34" s="29">
        <f>IF(TournamentData[[#This Row],[Team Number]]="","",IF(O134,RANK(O134,O$3:O$202,1)-COUNTIF(O$3:O$202,0),NumberOfTeams+1))</f>
        <v>9</v>
      </c>
      <c r="Q134" s="30">
        <f>_xlfn.XLOOKUP(TournamentData[[#This Row],[Team Number]],CoreValuesResults[Team Number],CoreValuesResults[Inspiration Selection],0,0,)</f>
        <v>0</v>
      </c>
      <c r="R134" s="33">
        <f>_xlfn.XLOOKUP(TournamentData[[#This Row],[Team Number]],CoreValuesResults[Team Number],CoreValuesResults[Rising All-Star Selection],0,0,)</f>
        <v>0</v>
      </c>
      <c r="S13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34" s="31"/>
      <c r="U134" s="31"/>
      <c r="V134" s="32"/>
      <c r="W134" s="91">
        <f>_xlfn.XLOOKUP(TournamentData[[#This Row],[Team Number]],CoreValuesResults[Team Number],CoreValuesResults[Core Values Score],0,0,)</f>
        <v>0</v>
      </c>
      <c r="X134" s="91">
        <f>_xlfn.XLOOKUP(TournamentData[[#This Row],[Team Number]],InnovationProjectResults[Team Number],InnovationProjectResults[Innovation Project Score],0,0,)</f>
        <v>0</v>
      </c>
      <c r="Y134" s="91">
        <f>_xlfn.XLOOKUP(TournamentData[[#This Row],[Team Number]],RobotDesignResults[Team Number],RobotDesignResults[Engineering Design Score],0,0,)</f>
        <v>0</v>
      </c>
      <c r="Z13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34" s="31">
        <f t="shared" si="4"/>
        <v>8</v>
      </c>
      <c r="AB134" s="31"/>
    </row>
    <row r="135" spans="1:28" ht="21" customHeight="1" x14ac:dyDescent="0.25">
      <c r="A135">
        <f>_xlfn.XLOOKUP(133,OfficialTeamList[Row],OfficialTeamList[Team Number],"ERROR",0)</f>
        <v>0</v>
      </c>
      <c r="B135" s="27" t="str">
        <f>_xlfn.XLOOKUP(TournamentData[[#This Row],[Team Number]],OfficialTeamList[Team Number],OfficialTeamList[Team Name],"",0,)</f>
        <v/>
      </c>
      <c r="C135" s="28">
        <f>IF(TournamentData[[#This Row],[Team Number]]="","",_xlfn.XLOOKUP(TournamentData[[#This Row],[Team Number]],RobotGameScores[Team Number],RobotGameScores[Match 1 Score],0,0,))</f>
        <v>0</v>
      </c>
      <c r="D135" s="28">
        <f>IF(TournamentData[[#This Row],[Team Number]]="","",_xlfn.XLOOKUP(TournamentData[[#This Row],[Team Number]],RobotGameScores[Team Number],RobotGameScores[Match 2 Score],0,0,))</f>
        <v>0</v>
      </c>
      <c r="E135" s="28">
        <f>IF(TournamentData[[#This Row],[Team Number]]="","",_xlfn.XLOOKUP(TournamentData[[#This Row],[Team Number]],RobotGameScores[Team Number],RobotGameScores[Match 3 Score],0,0,))</f>
        <v>0</v>
      </c>
      <c r="F135" s="28">
        <f>IF(TournamentData[[#This Row],[Team Number]]="","",_xlfn.XLOOKUP(TournamentData[[#This Row],[Team Number]],RobotGameScores[Team Number],RobotGameScores[Match 4 Score],0,0,))</f>
        <v>0</v>
      </c>
      <c r="G135" s="28">
        <f>IF(TournamentData[[#This Row],[Team Number]]="","",_xlfn.XLOOKUP(TournamentData[[#This Row],[Team Number]],RobotGameScores[Team Number],RobotGameScores[Match 5 Score],0,0,))</f>
        <v>0</v>
      </c>
      <c r="H135" s="28" t="str">
        <f>IF(TournamentData[[#This Row],[Team Name]]="","",_xlfn.XLOOKUP(TournamentData[[#This Row],[Team Name]],RobotGameScores[Team Name],RobotGameScores[Match 6 Score],0,0,))</f>
        <v/>
      </c>
      <c r="I135" s="28">
        <v>0</v>
      </c>
      <c r="J135" s="28">
        <f>SUM(TournamentData[[#This Row],[Match Score 1]:[Match Score 6]])/NumberOfRounds</f>
        <v>0</v>
      </c>
      <c r="K135" s="59">
        <f>IF(TournamentData[[#This Row],[Team Number]]="","",1+COUNTIFS($J$3:$J$201,"&gt;"&amp;J135)+COUNTIFS($J$3:$J$201,J135,$I$3:$I$201,"&gt;"&amp;I135))</f>
        <v>9</v>
      </c>
      <c r="L135" s="28">
        <f>IF(TournamentData[[#This Row],[Team Number]]="","",_xlfn.XLOOKUP(TournamentData[[#This Row],[Team Number]],CoreValuesResults[Team Number],CoreValuesResults[Core Values Rank],NumberOfTeams+1,0,))</f>
        <v>9</v>
      </c>
      <c r="M135" s="28">
        <f>IF(TournamentData[[#This Row],[Team Number]]="","",_xlfn.XLOOKUP(TournamentData[[#This Row],[Team Number]],InnovationProjectResults[Team Number],InnovationProjectResults[Innovation Project Rank],NumberOfTeams+1,0,))</f>
        <v>9</v>
      </c>
      <c r="N135" s="28">
        <f>IF(TournamentData[[#This Row],[Team Number]]="","",_xlfn.XLOOKUP(TournamentData[[#This Row],[Team Number]],RobotDesignResults[Team Number],RobotDesignResults[Engineering Design Rank],NumberOfTeams+1,0,))</f>
        <v>9</v>
      </c>
      <c r="O13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35" s="29">
        <f>IF(TournamentData[[#This Row],[Team Number]]="","",IF(O135,RANK(O135,O$3:O$202,1)-COUNTIF(O$3:O$202,0),NumberOfTeams+1))</f>
        <v>9</v>
      </c>
      <c r="Q135" s="30">
        <f>_xlfn.XLOOKUP(TournamentData[[#This Row],[Team Number]],CoreValuesResults[Team Number],CoreValuesResults[Inspiration Selection],0,0,)</f>
        <v>0</v>
      </c>
      <c r="R135" s="33">
        <f>_xlfn.XLOOKUP(TournamentData[[#This Row],[Team Number]],CoreValuesResults[Team Number],CoreValuesResults[Rising All-Star Selection],0,0,)</f>
        <v>0</v>
      </c>
      <c r="S13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35" s="31"/>
      <c r="U135" s="31"/>
      <c r="V135" s="32"/>
      <c r="W135" s="91">
        <f>_xlfn.XLOOKUP(TournamentData[[#This Row],[Team Number]],CoreValuesResults[Team Number],CoreValuesResults[Core Values Score],0,0,)</f>
        <v>0</v>
      </c>
      <c r="X135" s="91">
        <f>_xlfn.XLOOKUP(TournamentData[[#This Row],[Team Number]],InnovationProjectResults[Team Number],InnovationProjectResults[Innovation Project Score],0,0,)</f>
        <v>0</v>
      </c>
      <c r="Y135" s="91">
        <f>_xlfn.XLOOKUP(TournamentData[[#This Row],[Team Number]],RobotDesignResults[Team Number],RobotDesignResults[Engineering Design Score],0,0,)</f>
        <v>0</v>
      </c>
      <c r="Z13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35" s="31">
        <f t="shared" si="4"/>
        <v>8</v>
      </c>
      <c r="AB135" s="31"/>
    </row>
    <row r="136" spans="1:28" ht="21" customHeight="1" x14ac:dyDescent="0.25">
      <c r="A136">
        <f>_xlfn.XLOOKUP(134,OfficialTeamList[Row],OfficialTeamList[Team Number],"ERROR",0)</f>
        <v>0</v>
      </c>
      <c r="B136" s="27" t="str">
        <f>_xlfn.XLOOKUP(TournamentData[[#This Row],[Team Number]],OfficialTeamList[Team Number],OfficialTeamList[Team Name],"",0,)</f>
        <v/>
      </c>
      <c r="C136" s="28">
        <f>IF(TournamentData[[#This Row],[Team Number]]="","",_xlfn.XLOOKUP(TournamentData[[#This Row],[Team Number]],RobotGameScores[Team Number],RobotGameScores[Match 1 Score],0,0,))</f>
        <v>0</v>
      </c>
      <c r="D136" s="28">
        <f>IF(TournamentData[[#This Row],[Team Number]]="","",_xlfn.XLOOKUP(TournamentData[[#This Row],[Team Number]],RobotGameScores[Team Number],RobotGameScores[Match 2 Score],0,0,))</f>
        <v>0</v>
      </c>
      <c r="E136" s="28">
        <f>IF(TournamentData[[#This Row],[Team Number]]="","",_xlfn.XLOOKUP(TournamentData[[#This Row],[Team Number]],RobotGameScores[Team Number],RobotGameScores[Match 3 Score],0,0,))</f>
        <v>0</v>
      </c>
      <c r="F136" s="28">
        <f>IF(TournamentData[[#This Row],[Team Number]]="","",_xlfn.XLOOKUP(TournamentData[[#This Row],[Team Number]],RobotGameScores[Team Number],RobotGameScores[Match 4 Score],0,0,))</f>
        <v>0</v>
      </c>
      <c r="G136" s="28">
        <f>IF(TournamentData[[#This Row],[Team Number]]="","",_xlfn.XLOOKUP(TournamentData[[#This Row],[Team Number]],RobotGameScores[Team Number],RobotGameScores[Match 5 Score],0,0,))</f>
        <v>0</v>
      </c>
      <c r="H136" s="28" t="str">
        <f>IF(TournamentData[[#This Row],[Team Name]]="","",_xlfn.XLOOKUP(TournamentData[[#This Row],[Team Name]],RobotGameScores[Team Name],RobotGameScores[Match 6 Score],0,0,))</f>
        <v/>
      </c>
      <c r="I136" s="28">
        <v>0</v>
      </c>
      <c r="J136" s="28">
        <f>SUM(TournamentData[[#This Row],[Match Score 1]:[Match Score 6]])/NumberOfRounds</f>
        <v>0</v>
      </c>
      <c r="K136" s="60">
        <f>IF(TournamentData[[#This Row],[Team Number]]="","",1+COUNTIFS($J$3:$J$201,"&gt;"&amp;J136)+COUNTIFS($J$3:$J$201,J136,$I$3:$I$201,"&gt;"&amp;I136))</f>
        <v>9</v>
      </c>
      <c r="L136" s="28">
        <f>IF(TournamentData[[#This Row],[Team Number]]="","",_xlfn.XLOOKUP(TournamentData[[#This Row],[Team Number]],CoreValuesResults[Team Number],CoreValuesResults[Core Values Rank],NumberOfTeams+1,0,))</f>
        <v>9</v>
      </c>
      <c r="M136" s="28">
        <f>IF(TournamentData[[#This Row],[Team Number]]="","",_xlfn.XLOOKUP(TournamentData[[#This Row],[Team Number]],InnovationProjectResults[Team Number],InnovationProjectResults[Innovation Project Rank],NumberOfTeams+1,0,))</f>
        <v>9</v>
      </c>
      <c r="N136" s="28">
        <f>IF(TournamentData[[#This Row],[Team Number]]="","",_xlfn.XLOOKUP(TournamentData[[#This Row],[Team Number]],RobotDesignResults[Team Number],RobotDesignResults[Engineering Design Rank],NumberOfTeams+1,0,))</f>
        <v>9</v>
      </c>
      <c r="O13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36" s="29">
        <f>IF(TournamentData[[#This Row],[Team Number]]="","",IF(O136,RANK(O136,O$3:O$202,1)-COUNTIF(O$3:O$202,0),NumberOfTeams+1))</f>
        <v>9</v>
      </c>
      <c r="Q136" s="30">
        <f>_xlfn.XLOOKUP(TournamentData[[#This Row],[Team Number]],CoreValuesResults[Team Number],CoreValuesResults[Inspiration Selection],0,0,)</f>
        <v>0</v>
      </c>
      <c r="R136" s="33">
        <f>_xlfn.XLOOKUP(TournamentData[[#This Row],[Team Number]],CoreValuesResults[Team Number],CoreValuesResults[Rising All-Star Selection],0,0,)</f>
        <v>0</v>
      </c>
      <c r="S13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36" s="31"/>
      <c r="U136" s="31"/>
      <c r="V136" s="32"/>
      <c r="W136" s="91">
        <f>_xlfn.XLOOKUP(TournamentData[[#This Row],[Team Number]],CoreValuesResults[Team Number],CoreValuesResults[Core Values Score],0,0,)</f>
        <v>0</v>
      </c>
      <c r="X136" s="91">
        <f>_xlfn.XLOOKUP(TournamentData[[#This Row],[Team Number]],InnovationProjectResults[Team Number],InnovationProjectResults[Innovation Project Score],0,0,)</f>
        <v>0</v>
      </c>
      <c r="Y136" s="91">
        <f>_xlfn.XLOOKUP(TournamentData[[#This Row],[Team Number]],RobotDesignResults[Team Number],RobotDesignResults[Engineering Design Score],0,0,)</f>
        <v>0</v>
      </c>
      <c r="Z13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36" s="31">
        <f t="shared" si="4"/>
        <v>8</v>
      </c>
      <c r="AB136" s="31"/>
    </row>
    <row r="137" spans="1:28" ht="21" customHeight="1" x14ac:dyDescent="0.25">
      <c r="A137">
        <f>_xlfn.XLOOKUP(135,OfficialTeamList[Row],OfficialTeamList[Team Number],"ERROR",0)</f>
        <v>0</v>
      </c>
      <c r="B137" s="27" t="str">
        <f>_xlfn.XLOOKUP(TournamentData[[#This Row],[Team Number]],OfficialTeamList[Team Number],OfficialTeamList[Team Name],"",0,)</f>
        <v/>
      </c>
      <c r="C137" s="28">
        <f>IF(TournamentData[[#This Row],[Team Number]]="","",_xlfn.XLOOKUP(TournamentData[[#This Row],[Team Number]],RobotGameScores[Team Number],RobotGameScores[Match 1 Score],0,0,))</f>
        <v>0</v>
      </c>
      <c r="D137" s="28">
        <f>IF(TournamentData[[#This Row],[Team Number]]="","",_xlfn.XLOOKUP(TournamentData[[#This Row],[Team Number]],RobotGameScores[Team Number],RobotGameScores[Match 2 Score],0,0,))</f>
        <v>0</v>
      </c>
      <c r="E137" s="28">
        <f>IF(TournamentData[[#This Row],[Team Number]]="","",_xlfn.XLOOKUP(TournamentData[[#This Row],[Team Number]],RobotGameScores[Team Number],RobotGameScores[Match 3 Score],0,0,))</f>
        <v>0</v>
      </c>
      <c r="F137" s="28">
        <f>IF(TournamentData[[#This Row],[Team Number]]="","",_xlfn.XLOOKUP(TournamentData[[#This Row],[Team Number]],RobotGameScores[Team Number],RobotGameScores[Match 4 Score],0,0,))</f>
        <v>0</v>
      </c>
      <c r="G137" s="28">
        <f>IF(TournamentData[[#This Row],[Team Number]]="","",_xlfn.XLOOKUP(TournamentData[[#This Row],[Team Number]],RobotGameScores[Team Number],RobotGameScores[Match 5 Score],0,0,))</f>
        <v>0</v>
      </c>
      <c r="H137" s="28" t="str">
        <f>IF(TournamentData[[#This Row],[Team Name]]="","",_xlfn.XLOOKUP(TournamentData[[#This Row],[Team Name]],RobotGameScores[Team Name],RobotGameScores[Match 6 Score],0,0,))</f>
        <v/>
      </c>
      <c r="I137" s="28">
        <v>0</v>
      </c>
      <c r="J137" s="28">
        <f>SUM(TournamentData[[#This Row],[Match Score 1]:[Match Score 6]])/NumberOfRounds</f>
        <v>0</v>
      </c>
      <c r="K137" s="59">
        <f>IF(TournamentData[[#This Row],[Team Number]]="","",1+COUNTIFS($J$3:$J$201,"&gt;"&amp;J137)+COUNTIFS($J$3:$J$201,J137,$I$3:$I$201,"&gt;"&amp;I137))</f>
        <v>9</v>
      </c>
      <c r="L137" s="28">
        <f>IF(TournamentData[[#This Row],[Team Number]]="","",_xlfn.XLOOKUP(TournamentData[[#This Row],[Team Number]],CoreValuesResults[Team Number],CoreValuesResults[Core Values Rank],NumberOfTeams+1,0,))</f>
        <v>9</v>
      </c>
      <c r="M137" s="28">
        <f>IF(TournamentData[[#This Row],[Team Number]]="","",_xlfn.XLOOKUP(TournamentData[[#This Row],[Team Number]],InnovationProjectResults[Team Number],InnovationProjectResults[Innovation Project Rank],NumberOfTeams+1,0,))</f>
        <v>9</v>
      </c>
      <c r="N137" s="28">
        <f>IF(TournamentData[[#This Row],[Team Number]]="","",_xlfn.XLOOKUP(TournamentData[[#This Row],[Team Number]],RobotDesignResults[Team Number],RobotDesignResults[Engineering Design Rank],NumberOfTeams+1,0,))</f>
        <v>9</v>
      </c>
      <c r="O13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37" s="29">
        <f>IF(TournamentData[[#This Row],[Team Number]]="","",IF(O137,RANK(O137,O$3:O$202,1)-COUNTIF(O$3:O$202,0),NumberOfTeams+1))</f>
        <v>9</v>
      </c>
      <c r="Q137" s="30">
        <f>_xlfn.XLOOKUP(TournamentData[[#This Row],[Team Number]],CoreValuesResults[Team Number],CoreValuesResults[Inspiration Selection],0,0,)</f>
        <v>0</v>
      </c>
      <c r="R137" s="33">
        <f>_xlfn.XLOOKUP(TournamentData[[#This Row],[Team Number]],CoreValuesResults[Team Number],CoreValuesResults[Rising All-Star Selection],0,0,)</f>
        <v>0</v>
      </c>
      <c r="S13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37" s="31"/>
      <c r="U137" s="31"/>
      <c r="V137" s="32"/>
      <c r="W137" s="91">
        <f>_xlfn.XLOOKUP(TournamentData[[#This Row],[Team Number]],CoreValuesResults[Team Number],CoreValuesResults[Core Values Score],0,0,)</f>
        <v>0</v>
      </c>
      <c r="X137" s="91">
        <f>_xlfn.XLOOKUP(TournamentData[[#This Row],[Team Number]],InnovationProjectResults[Team Number],InnovationProjectResults[Innovation Project Score],0,0,)</f>
        <v>0</v>
      </c>
      <c r="Y137" s="91">
        <f>_xlfn.XLOOKUP(TournamentData[[#This Row],[Team Number]],RobotDesignResults[Team Number],RobotDesignResults[Engineering Design Score],0,0,)</f>
        <v>0</v>
      </c>
      <c r="Z13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37" s="31">
        <f t="shared" si="4"/>
        <v>8</v>
      </c>
      <c r="AB137" s="31"/>
    </row>
    <row r="138" spans="1:28" ht="21" customHeight="1" x14ac:dyDescent="0.25">
      <c r="A138">
        <f>_xlfn.XLOOKUP(136,OfficialTeamList[Row],OfficialTeamList[Team Number],"ERROR",0)</f>
        <v>0</v>
      </c>
      <c r="B138" s="27" t="str">
        <f>_xlfn.XLOOKUP(TournamentData[[#This Row],[Team Number]],OfficialTeamList[Team Number],OfficialTeamList[Team Name],"",0,)</f>
        <v/>
      </c>
      <c r="C138" s="28">
        <f>IF(TournamentData[[#This Row],[Team Number]]="","",_xlfn.XLOOKUP(TournamentData[[#This Row],[Team Number]],RobotGameScores[Team Number],RobotGameScores[Match 1 Score],0,0,))</f>
        <v>0</v>
      </c>
      <c r="D138" s="28">
        <f>IF(TournamentData[[#This Row],[Team Number]]="","",_xlfn.XLOOKUP(TournamentData[[#This Row],[Team Number]],RobotGameScores[Team Number],RobotGameScores[Match 2 Score],0,0,))</f>
        <v>0</v>
      </c>
      <c r="E138" s="28">
        <f>IF(TournamentData[[#This Row],[Team Number]]="","",_xlfn.XLOOKUP(TournamentData[[#This Row],[Team Number]],RobotGameScores[Team Number],RobotGameScores[Match 3 Score],0,0,))</f>
        <v>0</v>
      </c>
      <c r="F138" s="28">
        <f>IF(TournamentData[[#This Row],[Team Number]]="","",_xlfn.XLOOKUP(TournamentData[[#This Row],[Team Number]],RobotGameScores[Team Number],RobotGameScores[Match 4 Score],0,0,))</f>
        <v>0</v>
      </c>
      <c r="G138" s="28">
        <f>IF(TournamentData[[#This Row],[Team Number]]="","",_xlfn.XLOOKUP(TournamentData[[#This Row],[Team Number]],RobotGameScores[Team Number],RobotGameScores[Match 5 Score],0,0,))</f>
        <v>0</v>
      </c>
      <c r="H138" s="28" t="str">
        <f>IF(TournamentData[[#This Row],[Team Name]]="","",_xlfn.XLOOKUP(TournamentData[[#This Row],[Team Name]],RobotGameScores[Team Name],RobotGameScores[Match 6 Score],0,0,))</f>
        <v/>
      </c>
      <c r="I138" s="28">
        <v>0</v>
      </c>
      <c r="J138" s="28">
        <f>SUM(TournamentData[[#This Row],[Match Score 1]:[Match Score 6]])/NumberOfRounds</f>
        <v>0</v>
      </c>
      <c r="K138" s="60">
        <f>IF(TournamentData[[#This Row],[Team Number]]="","",1+COUNTIFS($J$3:$J$201,"&gt;"&amp;J138)+COUNTIFS($J$3:$J$201,J138,$I$3:$I$201,"&gt;"&amp;I138))</f>
        <v>9</v>
      </c>
      <c r="L138" s="28">
        <f>IF(TournamentData[[#This Row],[Team Number]]="","",_xlfn.XLOOKUP(TournamentData[[#This Row],[Team Number]],CoreValuesResults[Team Number],CoreValuesResults[Core Values Rank],NumberOfTeams+1,0,))</f>
        <v>9</v>
      </c>
      <c r="M138" s="28">
        <f>IF(TournamentData[[#This Row],[Team Number]]="","",_xlfn.XLOOKUP(TournamentData[[#This Row],[Team Number]],InnovationProjectResults[Team Number],InnovationProjectResults[Innovation Project Rank],NumberOfTeams+1,0,))</f>
        <v>9</v>
      </c>
      <c r="N138" s="28">
        <f>IF(TournamentData[[#This Row],[Team Number]]="","",_xlfn.XLOOKUP(TournamentData[[#This Row],[Team Number]],RobotDesignResults[Team Number],RobotDesignResults[Engineering Design Rank],NumberOfTeams+1,0,))</f>
        <v>9</v>
      </c>
      <c r="O13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38" s="29">
        <f>IF(TournamentData[[#This Row],[Team Number]]="","",IF(O138,RANK(O138,O$3:O$202,1)-COUNTIF(O$3:O$202,0),NumberOfTeams+1))</f>
        <v>9</v>
      </c>
      <c r="Q138" s="30">
        <f>_xlfn.XLOOKUP(TournamentData[[#This Row],[Team Number]],CoreValuesResults[Team Number],CoreValuesResults[Inspiration Selection],0,0,)</f>
        <v>0</v>
      </c>
      <c r="R138" s="33">
        <f>_xlfn.XLOOKUP(TournamentData[[#This Row],[Team Number]],CoreValuesResults[Team Number],CoreValuesResults[Rising All-Star Selection],0,0,)</f>
        <v>0</v>
      </c>
      <c r="S13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38" s="31"/>
      <c r="U138" s="31"/>
      <c r="V138" s="32"/>
      <c r="W138" s="91">
        <f>_xlfn.XLOOKUP(TournamentData[[#This Row],[Team Number]],CoreValuesResults[Team Number],CoreValuesResults[Core Values Score],0,0,)</f>
        <v>0</v>
      </c>
      <c r="X138" s="91">
        <f>_xlfn.XLOOKUP(TournamentData[[#This Row],[Team Number]],InnovationProjectResults[Team Number],InnovationProjectResults[Innovation Project Score],0,0,)</f>
        <v>0</v>
      </c>
      <c r="Y138" s="91">
        <f>_xlfn.XLOOKUP(TournamentData[[#This Row],[Team Number]],RobotDesignResults[Team Number],RobotDesignResults[Engineering Design Score],0,0,)</f>
        <v>0</v>
      </c>
      <c r="Z13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38" s="31">
        <f t="shared" si="4"/>
        <v>8</v>
      </c>
      <c r="AB138" s="31"/>
    </row>
    <row r="139" spans="1:28" ht="21" customHeight="1" x14ac:dyDescent="0.25">
      <c r="A139">
        <f>_xlfn.XLOOKUP(137,OfficialTeamList[Row],OfficialTeamList[Team Number],"ERROR",0)</f>
        <v>0</v>
      </c>
      <c r="B139" s="27" t="str">
        <f>_xlfn.XLOOKUP(TournamentData[[#This Row],[Team Number]],OfficialTeamList[Team Number],OfficialTeamList[Team Name],"",0,)</f>
        <v/>
      </c>
      <c r="C139" s="28">
        <f>IF(TournamentData[[#This Row],[Team Number]]="","",_xlfn.XLOOKUP(TournamentData[[#This Row],[Team Number]],RobotGameScores[Team Number],RobotGameScores[Match 1 Score],0,0,))</f>
        <v>0</v>
      </c>
      <c r="D139" s="28">
        <f>IF(TournamentData[[#This Row],[Team Number]]="","",_xlfn.XLOOKUP(TournamentData[[#This Row],[Team Number]],RobotGameScores[Team Number],RobotGameScores[Match 2 Score],0,0,))</f>
        <v>0</v>
      </c>
      <c r="E139" s="28">
        <f>IF(TournamentData[[#This Row],[Team Number]]="","",_xlfn.XLOOKUP(TournamentData[[#This Row],[Team Number]],RobotGameScores[Team Number],RobotGameScores[Match 3 Score],0,0,))</f>
        <v>0</v>
      </c>
      <c r="F139" s="28">
        <f>IF(TournamentData[[#This Row],[Team Number]]="","",_xlfn.XLOOKUP(TournamentData[[#This Row],[Team Number]],RobotGameScores[Team Number],RobotGameScores[Match 4 Score],0,0,))</f>
        <v>0</v>
      </c>
      <c r="G139" s="28">
        <f>IF(TournamentData[[#This Row],[Team Number]]="","",_xlfn.XLOOKUP(TournamentData[[#This Row],[Team Number]],RobotGameScores[Team Number],RobotGameScores[Match 5 Score],0,0,))</f>
        <v>0</v>
      </c>
      <c r="H139" s="28" t="str">
        <f>IF(TournamentData[[#This Row],[Team Name]]="","",_xlfn.XLOOKUP(TournamentData[[#This Row],[Team Name]],RobotGameScores[Team Name],RobotGameScores[Match 6 Score],0,0,))</f>
        <v/>
      </c>
      <c r="I139" s="28">
        <v>0</v>
      </c>
      <c r="J139" s="28">
        <f>SUM(TournamentData[[#This Row],[Match Score 1]:[Match Score 6]])/NumberOfRounds</f>
        <v>0</v>
      </c>
      <c r="K139" s="59">
        <f>IF(TournamentData[[#This Row],[Team Number]]="","",1+COUNTIFS($J$3:$J$201,"&gt;"&amp;J139)+COUNTIFS($J$3:$J$201,J139,$I$3:$I$201,"&gt;"&amp;I139))</f>
        <v>9</v>
      </c>
      <c r="L139" s="28">
        <f>IF(TournamentData[[#This Row],[Team Number]]="","",_xlfn.XLOOKUP(TournamentData[[#This Row],[Team Number]],CoreValuesResults[Team Number],CoreValuesResults[Core Values Rank],NumberOfTeams+1,0,))</f>
        <v>9</v>
      </c>
      <c r="M139" s="28">
        <f>IF(TournamentData[[#This Row],[Team Number]]="","",_xlfn.XLOOKUP(TournamentData[[#This Row],[Team Number]],InnovationProjectResults[Team Number],InnovationProjectResults[Innovation Project Rank],NumberOfTeams+1,0,))</f>
        <v>9</v>
      </c>
      <c r="N139" s="28">
        <f>IF(TournamentData[[#This Row],[Team Number]]="","",_xlfn.XLOOKUP(TournamentData[[#This Row],[Team Number]],RobotDesignResults[Team Number],RobotDesignResults[Engineering Design Rank],NumberOfTeams+1,0,))</f>
        <v>9</v>
      </c>
      <c r="O13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39" s="29">
        <f>IF(TournamentData[[#This Row],[Team Number]]="","",IF(O139,RANK(O139,O$3:O$202,1)-COUNTIF(O$3:O$202,0),NumberOfTeams+1))</f>
        <v>9</v>
      </c>
      <c r="Q139" s="30">
        <f>_xlfn.XLOOKUP(TournamentData[[#This Row],[Team Number]],CoreValuesResults[Team Number],CoreValuesResults[Inspiration Selection],0,0,)</f>
        <v>0</v>
      </c>
      <c r="R139" s="33">
        <f>_xlfn.XLOOKUP(TournamentData[[#This Row],[Team Number]],CoreValuesResults[Team Number],CoreValuesResults[Rising All-Star Selection],0,0,)</f>
        <v>0</v>
      </c>
      <c r="S13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39" s="31"/>
      <c r="U139" s="31"/>
      <c r="V139" s="32"/>
      <c r="W139" s="91">
        <f>_xlfn.XLOOKUP(TournamentData[[#This Row],[Team Number]],CoreValuesResults[Team Number],CoreValuesResults[Core Values Score],0,0,)</f>
        <v>0</v>
      </c>
      <c r="X139" s="91">
        <f>_xlfn.XLOOKUP(TournamentData[[#This Row],[Team Number]],InnovationProjectResults[Team Number],InnovationProjectResults[Innovation Project Score],0,0,)</f>
        <v>0</v>
      </c>
      <c r="Y139" s="91">
        <f>_xlfn.XLOOKUP(TournamentData[[#This Row],[Team Number]],RobotDesignResults[Team Number],RobotDesignResults[Engineering Design Score],0,0,)</f>
        <v>0</v>
      </c>
      <c r="Z13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39" s="31">
        <f t="shared" si="4"/>
        <v>8</v>
      </c>
      <c r="AB139" s="31"/>
    </row>
    <row r="140" spans="1:28" ht="21" customHeight="1" x14ac:dyDescent="0.25">
      <c r="A140">
        <f>_xlfn.XLOOKUP(138,OfficialTeamList[Row],OfficialTeamList[Team Number],"ERROR",0)</f>
        <v>0</v>
      </c>
      <c r="B140" s="27" t="str">
        <f>_xlfn.XLOOKUP(TournamentData[[#This Row],[Team Number]],OfficialTeamList[Team Number],OfficialTeamList[Team Name],"",0,)</f>
        <v/>
      </c>
      <c r="C140" s="28">
        <f>IF(TournamentData[[#This Row],[Team Number]]="","",_xlfn.XLOOKUP(TournamentData[[#This Row],[Team Number]],RobotGameScores[Team Number],RobotGameScores[Match 1 Score],0,0,))</f>
        <v>0</v>
      </c>
      <c r="D140" s="28">
        <f>IF(TournamentData[[#This Row],[Team Number]]="","",_xlfn.XLOOKUP(TournamentData[[#This Row],[Team Number]],RobotGameScores[Team Number],RobotGameScores[Match 2 Score],0,0,))</f>
        <v>0</v>
      </c>
      <c r="E140" s="28">
        <f>IF(TournamentData[[#This Row],[Team Number]]="","",_xlfn.XLOOKUP(TournamentData[[#This Row],[Team Number]],RobotGameScores[Team Number],RobotGameScores[Match 3 Score],0,0,))</f>
        <v>0</v>
      </c>
      <c r="F140" s="28">
        <f>IF(TournamentData[[#This Row],[Team Number]]="","",_xlfn.XLOOKUP(TournamentData[[#This Row],[Team Number]],RobotGameScores[Team Number],RobotGameScores[Match 4 Score],0,0,))</f>
        <v>0</v>
      </c>
      <c r="G140" s="28">
        <f>IF(TournamentData[[#This Row],[Team Number]]="","",_xlfn.XLOOKUP(TournamentData[[#This Row],[Team Number]],RobotGameScores[Team Number],RobotGameScores[Match 5 Score],0,0,))</f>
        <v>0</v>
      </c>
      <c r="H140" s="28" t="str">
        <f>IF(TournamentData[[#This Row],[Team Name]]="","",_xlfn.XLOOKUP(TournamentData[[#This Row],[Team Name]],RobotGameScores[Team Name],RobotGameScores[Match 6 Score],0,0,))</f>
        <v/>
      </c>
      <c r="I140" s="28">
        <v>0</v>
      </c>
      <c r="J140" s="28">
        <f>SUM(TournamentData[[#This Row],[Match Score 1]:[Match Score 6]])/NumberOfRounds</f>
        <v>0</v>
      </c>
      <c r="K140" s="60">
        <f>IF(TournamentData[[#This Row],[Team Number]]="","",1+COUNTIFS($J$3:$J$201,"&gt;"&amp;J140)+COUNTIFS($J$3:$J$201,J140,$I$3:$I$201,"&gt;"&amp;I140))</f>
        <v>9</v>
      </c>
      <c r="L140" s="28">
        <f>IF(TournamentData[[#This Row],[Team Number]]="","",_xlfn.XLOOKUP(TournamentData[[#This Row],[Team Number]],CoreValuesResults[Team Number],CoreValuesResults[Core Values Rank],NumberOfTeams+1,0,))</f>
        <v>9</v>
      </c>
      <c r="M140" s="28">
        <f>IF(TournamentData[[#This Row],[Team Number]]="","",_xlfn.XLOOKUP(TournamentData[[#This Row],[Team Number]],InnovationProjectResults[Team Number],InnovationProjectResults[Innovation Project Rank],NumberOfTeams+1,0,))</f>
        <v>9</v>
      </c>
      <c r="N140" s="28">
        <f>IF(TournamentData[[#This Row],[Team Number]]="","",_xlfn.XLOOKUP(TournamentData[[#This Row],[Team Number]],RobotDesignResults[Team Number],RobotDesignResults[Engineering Design Rank],NumberOfTeams+1,0,))</f>
        <v>9</v>
      </c>
      <c r="O14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40" s="29">
        <f>IF(TournamentData[[#This Row],[Team Number]]="","",IF(O140,RANK(O140,O$3:O$202,1)-COUNTIF(O$3:O$202,0),NumberOfTeams+1))</f>
        <v>9</v>
      </c>
      <c r="Q140" s="30">
        <f>_xlfn.XLOOKUP(TournamentData[[#This Row],[Team Number]],CoreValuesResults[Team Number],CoreValuesResults[Inspiration Selection],0,0,)</f>
        <v>0</v>
      </c>
      <c r="R140" s="33">
        <f>_xlfn.XLOOKUP(TournamentData[[#This Row],[Team Number]],CoreValuesResults[Team Number],CoreValuesResults[Rising All-Star Selection],0,0,)</f>
        <v>0</v>
      </c>
      <c r="S14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40" s="31"/>
      <c r="U140" s="31"/>
      <c r="V140" s="32"/>
      <c r="W140" s="91">
        <f>_xlfn.XLOOKUP(TournamentData[[#This Row],[Team Number]],CoreValuesResults[Team Number],CoreValuesResults[Core Values Score],0,0,)</f>
        <v>0</v>
      </c>
      <c r="X140" s="91">
        <f>_xlfn.XLOOKUP(TournamentData[[#This Row],[Team Number]],InnovationProjectResults[Team Number],InnovationProjectResults[Innovation Project Score],0,0,)</f>
        <v>0</v>
      </c>
      <c r="Y140" s="91">
        <f>_xlfn.XLOOKUP(TournamentData[[#This Row],[Team Number]],RobotDesignResults[Team Number],RobotDesignResults[Engineering Design Score],0,0,)</f>
        <v>0</v>
      </c>
      <c r="Z14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40" s="31">
        <f t="shared" si="4"/>
        <v>8</v>
      </c>
      <c r="AB140" s="31"/>
    </row>
    <row r="141" spans="1:28" ht="21" customHeight="1" x14ac:dyDescent="0.25">
      <c r="A141">
        <f>_xlfn.XLOOKUP(139,OfficialTeamList[Row],OfficialTeamList[Team Number],"ERROR",0)</f>
        <v>0</v>
      </c>
      <c r="B141" s="27" t="str">
        <f>_xlfn.XLOOKUP(TournamentData[[#This Row],[Team Number]],OfficialTeamList[Team Number],OfficialTeamList[Team Name],"",0,)</f>
        <v/>
      </c>
      <c r="C141" s="28">
        <f>IF(TournamentData[[#This Row],[Team Number]]="","",_xlfn.XLOOKUP(TournamentData[[#This Row],[Team Number]],RobotGameScores[Team Number],RobotGameScores[Match 1 Score],0,0,))</f>
        <v>0</v>
      </c>
      <c r="D141" s="28">
        <f>IF(TournamentData[[#This Row],[Team Number]]="","",_xlfn.XLOOKUP(TournamentData[[#This Row],[Team Number]],RobotGameScores[Team Number],RobotGameScores[Match 2 Score],0,0,))</f>
        <v>0</v>
      </c>
      <c r="E141" s="28">
        <f>IF(TournamentData[[#This Row],[Team Number]]="","",_xlfn.XLOOKUP(TournamentData[[#This Row],[Team Number]],RobotGameScores[Team Number],RobotGameScores[Match 3 Score],0,0,))</f>
        <v>0</v>
      </c>
      <c r="F141" s="28">
        <f>IF(TournamentData[[#This Row],[Team Number]]="","",_xlfn.XLOOKUP(TournamentData[[#This Row],[Team Number]],RobotGameScores[Team Number],RobotGameScores[Match 4 Score],0,0,))</f>
        <v>0</v>
      </c>
      <c r="G141" s="28">
        <f>IF(TournamentData[[#This Row],[Team Number]]="","",_xlfn.XLOOKUP(TournamentData[[#This Row],[Team Number]],RobotGameScores[Team Number],RobotGameScores[Match 5 Score],0,0,))</f>
        <v>0</v>
      </c>
      <c r="H141" s="28" t="str">
        <f>IF(TournamentData[[#This Row],[Team Name]]="","",_xlfn.XLOOKUP(TournamentData[[#This Row],[Team Name]],RobotGameScores[Team Name],RobotGameScores[Match 6 Score],0,0,))</f>
        <v/>
      </c>
      <c r="I141" s="28">
        <v>0</v>
      </c>
      <c r="J141" s="28">
        <f>SUM(TournamentData[[#This Row],[Match Score 1]:[Match Score 6]])/NumberOfRounds</f>
        <v>0</v>
      </c>
      <c r="K141" s="59">
        <f>IF(TournamentData[[#This Row],[Team Number]]="","",1+COUNTIFS($J$3:$J$201,"&gt;"&amp;J141)+COUNTIFS($J$3:$J$201,J141,$I$3:$I$201,"&gt;"&amp;I141))</f>
        <v>9</v>
      </c>
      <c r="L141" s="28">
        <f>IF(TournamentData[[#This Row],[Team Number]]="","",_xlfn.XLOOKUP(TournamentData[[#This Row],[Team Number]],CoreValuesResults[Team Number],CoreValuesResults[Core Values Rank],NumberOfTeams+1,0,))</f>
        <v>9</v>
      </c>
      <c r="M141" s="28">
        <f>IF(TournamentData[[#This Row],[Team Number]]="","",_xlfn.XLOOKUP(TournamentData[[#This Row],[Team Number]],InnovationProjectResults[Team Number],InnovationProjectResults[Innovation Project Rank],NumberOfTeams+1,0,))</f>
        <v>9</v>
      </c>
      <c r="N141" s="28">
        <f>IF(TournamentData[[#This Row],[Team Number]]="","",_xlfn.XLOOKUP(TournamentData[[#This Row],[Team Number]],RobotDesignResults[Team Number],RobotDesignResults[Engineering Design Rank],NumberOfTeams+1,0,))</f>
        <v>9</v>
      </c>
      <c r="O14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41" s="29">
        <f>IF(TournamentData[[#This Row],[Team Number]]="","",IF(O141,RANK(O141,O$3:O$202,1)-COUNTIF(O$3:O$202,0),NumberOfTeams+1))</f>
        <v>9</v>
      </c>
      <c r="Q141" s="30">
        <f>_xlfn.XLOOKUP(TournamentData[[#This Row],[Team Number]],CoreValuesResults[Team Number],CoreValuesResults[Inspiration Selection],0,0,)</f>
        <v>0</v>
      </c>
      <c r="R141" s="33">
        <f>_xlfn.XLOOKUP(TournamentData[[#This Row],[Team Number]],CoreValuesResults[Team Number],CoreValuesResults[Rising All-Star Selection],0,0,)</f>
        <v>0</v>
      </c>
      <c r="S14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41" s="31"/>
      <c r="U141" s="31"/>
      <c r="V141" s="32"/>
      <c r="W141" s="91">
        <f>_xlfn.XLOOKUP(TournamentData[[#This Row],[Team Number]],CoreValuesResults[Team Number],CoreValuesResults[Core Values Score],0,0,)</f>
        <v>0</v>
      </c>
      <c r="X141" s="91">
        <f>_xlfn.XLOOKUP(TournamentData[[#This Row],[Team Number]],InnovationProjectResults[Team Number],InnovationProjectResults[Innovation Project Score],0,0,)</f>
        <v>0</v>
      </c>
      <c r="Y141" s="91">
        <f>_xlfn.XLOOKUP(TournamentData[[#This Row],[Team Number]],RobotDesignResults[Team Number],RobotDesignResults[Engineering Design Score],0,0,)</f>
        <v>0</v>
      </c>
      <c r="Z14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41" s="31">
        <f t="shared" si="4"/>
        <v>8</v>
      </c>
      <c r="AB141" s="31"/>
    </row>
    <row r="142" spans="1:28" ht="21" customHeight="1" x14ac:dyDescent="0.25">
      <c r="A142">
        <f>_xlfn.XLOOKUP(140,OfficialTeamList[Row],OfficialTeamList[Team Number],"ERROR",0)</f>
        <v>0</v>
      </c>
      <c r="B142" s="27" t="str">
        <f>_xlfn.XLOOKUP(TournamentData[[#This Row],[Team Number]],OfficialTeamList[Team Number],OfficialTeamList[Team Name],"",0,)</f>
        <v/>
      </c>
      <c r="C142" s="28">
        <f>IF(TournamentData[[#This Row],[Team Number]]="","",_xlfn.XLOOKUP(TournamentData[[#This Row],[Team Number]],RobotGameScores[Team Number],RobotGameScores[Match 1 Score],0,0,))</f>
        <v>0</v>
      </c>
      <c r="D142" s="28">
        <f>IF(TournamentData[[#This Row],[Team Number]]="","",_xlfn.XLOOKUP(TournamentData[[#This Row],[Team Number]],RobotGameScores[Team Number],RobotGameScores[Match 2 Score],0,0,))</f>
        <v>0</v>
      </c>
      <c r="E142" s="28">
        <f>IF(TournamentData[[#This Row],[Team Number]]="","",_xlfn.XLOOKUP(TournamentData[[#This Row],[Team Number]],RobotGameScores[Team Number],RobotGameScores[Match 3 Score],0,0,))</f>
        <v>0</v>
      </c>
      <c r="F142" s="28">
        <f>IF(TournamentData[[#This Row],[Team Number]]="","",_xlfn.XLOOKUP(TournamentData[[#This Row],[Team Number]],RobotGameScores[Team Number],RobotGameScores[Match 4 Score],0,0,))</f>
        <v>0</v>
      </c>
      <c r="G142" s="28">
        <f>IF(TournamentData[[#This Row],[Team Number]]="","",_xlfn.XLOOKUP(TournamentData[[#This Row],[Team Number]],RobotGameScores[Team Number],RobotGameScores[Match 5 Score],0,0,))</f>
        <v>0</v>
      </c>
      <c r="H142" s="28" t="str">
        <f>IF(TournamentData[[#This Row],[Team Name]]="","",_xlfn.XLOOKUP(TournamentData[[#This Row],[Team Name]],RobotGameScores[Team Name],RobotGameScores[Match 6 Score],0,0,))</f>
        <v/>
      </c>
      <c r="I142" s="28">
        <v>0</v>
      </c>
      <c r="J142" s="28">
        <f>SUM(TournamentData[[#This Row],[Match Score 1]:[Match Score 6]])/NumberOfRounds</f>
        <v>0</v>
      </c>
      <c r="K142" s="60">
        <f>IF(TournamentData[[#This Row],[Team Number]]="","",1+COUNTIFS($J$3:$J$201,"&gt;"&amp;J142)+COUNTIFS($J$3:$J$201,J142,$I$3:$I$201,"&gt;"&amp;I142))</f>
        <v>9</v>
      </c>
      <c r="L142" s="28">
        <f>IF(TournamentData[[#This Row],[Team Number]]="","",_xlfn.XLOOKUP(TournamentData[[#This Row],[Team Number]],CoreValuesResults[Team Number],CoreValuesResults[Core Values Rank],NumberOfTeams+1,0,))</f>
        <v>9</v>
      </c>
      <c r="M142" s="28">
        <f>IF(TournamentData[[#This Row],[Team Number]]="","",_xlfn.XLOOKUP(TournamentData[[#This Row],[Team Number]],InnovationProjectResults[Team Number],InnovationProjectResults[Innovation Project Rank],NumberOfTeams+1,0,))</f>
        <v>9</v>
      </c>
      <c r="N142" s="28">
        <f>IF(TournamentData[[#This Row],[Team Number]]="","",_xlfn.XLOOKUP(TournamentData[[#This Row],[Team Number]],RobotDesignResults[Team Number],RobotDesignResults[Engineering Design Rank],NumberOfTeams+1,0,))</f>
        <v>9</v>
      </c>
      <c r="O14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42" s="29">
        <f>IF(TournamentData[[#This Row],[Team Number]]="","",IF(O142,RANK(O142,O$3:O$202,1)-COUNTIF(O$3:O$202,0),NumberOfTeams+1))</f>
        <v>9</v>
      </c>
      <c r="Q142" s="30">
        <f>_xlfn.XLOOKUP(TournamentData[[#This Row],[Team Number]],CoreValuesResults[Team Number],CoreValuesResults[Inspiration Selection],0,0,)</f>
        <v>0</v>
      </c>
      <c r="R142" s="33">
        <f>_xlfn.XLOOKUP(TournamentData[[#This Row],[Team Number]],CoreValuesResults[Team Number],CoreValuesResults[Rising All-Star Selection],0,0,)</f>
        <v>0</v>
      </c>
      <c r="S14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42" s="31"/>
      <c r="U142" s="31"/>
      <c r="V142" s="32"/>
      <c r="W142" s="91">
        <f>_xlfn.XLOOKUP(TournamentData[[#This Row],[Team Number]],CoreValuesResults[Team Number],CoreValuesResults[Core Values Score],0,0,)</f>
        <v>0</v>
      </c>
      <c r="X142" s="91">
        <f>_xlfn.XLOOKUP(TournamentData[[#This Row],[Team Number]],InnovationProjectResults[Team Number],InnovationProjectResults[Innovation Project Score],0,0,)</f>
        <v>0</v>
      </c>
      <c r="Y142" s="91">
        <f>_xlfn.XLOOKUP(TournamentData[[#This Row],[Team Number]],RobotDesignResults[Team Number],RobotDesignResults[Engineering Design Score],0,0,)</f>
        <v>0</v>
      </c>
      <c r="Z14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42" s="31">
        <f t="shared" si="4"/>
        <v>8</v>
      </c>
      <c r="AB142" s="31"/>
    </row>
    <row r="143" spans="1:28" ht="21" customHeight="1" x14ac:dyDescent="0.25">
      <c r="A143">
        <f>_xlfn.XLOOKUP(141,OfficialTeamList[Row],OfficialTeamList[Team Number],"ERROR",0)</f>
        <v>0</v>
      </c>
      <c r="B143" s="27" t="str">
        <f>_xlfn.XLOOKUP(TournamentData[[#This Row],[Team Number]],OfficialTeamList[Team Number],OfficialTeamList[Team Name],"",0,)</f>
        <v/>
      </c>
      <c r="C143" s="28">
        <f>IF(TournamentData[[#This Row],[Team Number]]="","",_xlfn.XLOOKUP(TournamentData[[#This Row],[Team Number]],RobotGameScores[Team Number],RobotGameScores[Match 1 Score],0,0,))</f>
        <v>0</v>
      </c>
      <c r="D143" s="28">
        <f>IF(TournamentData[[#This Row],[Team Number]]="","",_xlfn.XLOOKUP(TournamentData[[#This Row],[Team Number]],RobotGameScores[Team Number],RobotGameScores[Match 2 Score],0,0,))</f>
        <v>0</v>
      </c>
      <c r="E143" s="28">
        <f>IF(TournamentData[[#This Row],[Team Number]]="","",_xlfn.XLOOKUP(TournamentData[[#This Row],[Team Number]],RobotGameScores[Team Number],RobotGameScores[Match 3 Score],0,0,))</f>
        <v>0</v>
      </c>
      <c r="F143" s="28">
        <f>IF(TournamentData[[#This Row],[Team Number]]="","",_xlfn.XLOOKUP(TournamentData[[#This Row],[Team Number]],RobotGameScores[Team Number],RobotGameScores[Match 4 Score],0,0,))</f>
        <v>0</v>
      </c>
      <c r="G143" s="28">
        <f>IF(TournamentData[[#This Row],[Team Number]]="","",_xlfn.XLOOKUP(TournamentData[[#This Row],[Team Number]],RobotGameScores[Team Number],RobotGameScores[Match 5 Score],0,0,))</f>
        <v>0</v>
      </c>
      <c r="H143" s="28" t="str">
        <f>IF(TournamentData[[#This Row],[Team Name]]="","",_xlfn.XLOOKUP(TournamentData[[#This Row],[Team Name]],RobotGameScores[Team Name],RobotGameScores[Match 6 Score],0,0,))</f>
        <v/>
      </c>
      <c r="I143" s="28">
        <v>0</v>
      </c>
      <c r="J143" s="28">
        <f>SUM(TournamentData[[#This Row],[Match Score 1]:[Match Score 6]])/NumberOfRounds</f>
        <v>0</v>
      </c>
      <c r="K143" s="59">
        <f>IF(TournamentData[[#This Row],[Team Number]]="","",1+COUNTIFS($J$3:$J$201,"&gt;"&amp;J143)+COUNTIFS($J$3:$J$201,J143,$I$3:$I$201,"&gt;"&amp;I143))</f>
        <v>9</v>
      </c>
      <c r="L143" s="28">
        <f>IF(TournamentData[[#This Row],[Team Number]]="","",_xlfn.XLOOKUP(TournamentData[[#This Row],[Team Number]],CoreValuesResults[Team Number],CoreValuesResults[Core Values Rank],NumberOfTeams+1,0,))</f>
        <v>9</v>
      </c>
      <c r="M143" s="28">
        <f>IF(TournamentData[[#This Row],[Team Number]]="","",_xlfn.XLOOKUP(TournamentData[[#This Row],[Team Number]],InnovationProjectResults[Team Number],InnovationProjectResults[Innovation Project Rank],NumberOfTeams+1,0,))</f>
        <v>9</v>
      </c>
      <c r="N143" s="28">
        <f>IF(TournamentData[[#This Row],[Team Number]]="","",_xlfn.XLOOKUP(TournamentData[[#This Row],[Team Number]],RobotDesignResults[Team Number],RobotDesignResults[Engineering Design Rank],NumberOfTeams+1,0,))</f>
        <v>9</v>
      </c>
      <c r="O14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43" s="29">
        <f>IF(TournamentData[[#This Row],[Team Number]]="","",IF(O143,RANK(O143,O$3:O$202,1)-COUNTIF(O$3:O$202,0),NumberOfTeams+1))</f>
        <v>9</v>
      </c>
      <c r="Q143" s="30">
        <f>_xlfn.XLOOKUP(TournamentData[[#This Row],[Team Number]],CoreValuesResults[Team Number],CoreValuesResults[Inspiration Selection],0,0,)</f>
        <v>0</v>
      </c>
      <c r="R143" s="33">
        <f>_xlfn.XLOOKUP(TournamentData[[#This Row],[Team Number]],CoreValuesResults[Team Number],CoreValuesResults[Rising All-Star Selection],0,0,)</f>
        <v>0</v>
      </c>
      <c r="S14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43" s="31"/>
      <c r="U143" s="31"/>
      <c r="V143" s="32"/>
      <c r="W143" s="91">
        <f>_xlfn.XLOOKUP(TournamentData[[#This Row],[Team Number]],CoreValuesResults[Team Number],CoreValuesResults[Core Values Score],0,0,)</f>
        <v>0</v>
      </c>
      <c r="X143" s="91">
        <f>_xlfn.XLOOKUP(TournamentData[[#This Row],[Team Number]],InnovationProjectResults[Team Number],InnovationProjectResults[Innovation Project Score],0,0,)</f>
        <v>0</v>
      </c>
      <c r="Y143" s="91">
        <f>_xlfn.XLOOKUP(TournamentData[[#This Row],[Team Number]],RobotDesignResults[Team Number],RobotDesignResults[Engineering Design Score],0,0,)</f>
        <v>0</v>
      </c>
      <c r="Z14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43" s="31">
        <f t="shared" si="4"/>
        <v>8</v>
      </c>
      <c r="AB143" s="31"/>
    </row>
    <row r="144" spans="1:28" ht="21" customHeight="1" x14ac:dyDescent="0.25">
      <c r="A144">
        <f>_xlfn.XLOOKUP(142,OfficialTeamList[Row],OfficialTeamList[Team Number],"ERROR",0)</f>
        <v>0</v>
      </c>
      <c r="B144" s="27" t="str">
        <f>_xlfn.XLOOKUP(TournamentData[[#This Row],[Team Number]],OfficialTeamList[Team Number],OfficialTeamList[Team Name],"",0,)</f>
        <v/>
      </c>
      <c r="C144" s="28">
        <f>IF(TournamentData[[#This Row],[Team Number]]="","",_xlfn.XLOOKUP(TournamentData[[#This Row],[Team Number]],RobotGameScores[Team Number],RobotGameScores[Match 1 Score],0,0,))</f>
        <v>0</v>
      </c>
      <c r="D144" s="28">
        <f>IF(TournamentData[[#This Row],[Team Number]]="","",_xlfn.XLOOKUP(TournamentData[[#This Row],[Team Number]],RobotGameScores[Team Number],RobotGameScores[Match 2 Score],0,0,))</f>
        <v>0</v>
      </c>
      <c r="E144" s="28">
        <f>IF(TournamentData[[#This Row],[Team Number]]="","",_xlfn.XLOOKUP(TournamentData[[#This Row],[Team Number]],RobotGameScores[Team Number],RobotGameScores[Match 3 Score],0,0,))</f>
        <v>0</v>
      </c>
      <c r="F144" s="28">
        <f>IF(TournamentData[[#This Row],[Team Number]]="","",_xlfn.XLOOKUP(TournamentData[[#This Row],[Team Number]],RobotGameScores[Team Number],RobotGameScores[Match 4 Score],0,0,))</f>
        <v>0</v>
      </c>
      <c r="G144" s="28">
        <f>IF(TournamentData[[#This Row],[Team Number]]="","",_xlfn.XLOOKUP(TournamentData[[#This Row],[Team Number]],RobotGameScores[Team Number],RobotGameScores[Match 5 Score],0,0,))</f>
        <v>0</v>
      </c>
      <c r="H144" s="28" t="str">
        <f>IF(TournamentData[[#This Row],[Team Name]]="","",_xlfn.XLOOKUP(TournamentData[[#This Row],[Team Name]],RobotGameScores[Team Name],RobotGameScores[Match 6 Score],0,0,))</f>
        <v/>
      </c>
      <c r="I144" s="28">
        <v>0</v>
      </c>
      <c r="J144" s="28">
        <f>SUM(TournamentData[[#This Row],[Match Score 1]:[Match Score 6]])/NumberOfRounds</f>
        <v>0</v>
      </c>
      <c r="K144" s="60">
        <f>IF(TournamentData[[#This Row],[Team Number]]="","",1+COUNTIFS($J$3:$J$201,"&gt;"&amp;J144)+COUNTIFS($J$3:$J$201,J144,$I$3:$I$201,"&gt;"&amp;I144))</f>
        <v>9</v>
      </c>
      <c r="L144" s="28">
        <f>IF(TournamentData[[#This Row],[Team Number]]="","",_xlfn.XLOOKUP(TournamentData[[#This Row],[Team Number]],CoreValuesResults[Team Number],CoreValuesResults[Core Values Rank],NumberOfTeams+1,0,))</f>
        <v>9</v>
      </c>
      <c r="M144" s="28">
        <f>IF(TournamentData[[#This Row],[Team Number]]="","",_xlfn.XLOOKUP(TournamentData[[#This Row],[Team Number]],InnovationProjectResults[Team Number],InnovationProjectResults[Innovation Project Rank],NumberOfTeams+1,0,))</f>
        <v>9</v>
      </c>
      <c r="N144" s="28">
        <f>IF(TournamentData[[#This Row],[Team Number]]="","",_xlfn.XLOOKUP(TournamentData[[#This Row],[Team Number]],RobotDesignResults[Team Number],RobotDesignResults[Engineering Design Rank],NumberOfTeams+1,0,))</f>
        <v>9</v>
      </c>
      <c r="O14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44" s="29">
        <f>IF(TournamentData[[#This Row],[Team Number]]="","",IF(O144,RANK(O144,O$3:O$202,1)-COUNTIF(O$3:O$202,0),NumberOfTeams+1))</f>
        <v>9</v>
      </c>
      <c r="Q144" s="30">
        <f>_xlfn.XLOOKUP(TournamentData[[#This Row],[Team Number]],CoreValuesResults[Team Number],CoreValuesResults[Inspiration Selection],0,0,)</f>
        <v>0</v>
      </c>
      <c r="R144" s="33">
        <f>_xlfn.XLOOKUP(TournamentData[[#This Row],[Team Number]],CoreValuesResults[Team Number],CoreValuesResults[Rising All-Star Selection],0,0,)</f>
        <v>0</v>
      </c>
      <c r="S14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44" s="31"/>
      <c r="U144" s="31"/>
      <c r="V144" s="32"/>
      <c r="W144" s="91">
        <f>_xlfn.XLOOKUP(TournamentData[[#This Row],[Team Number]],CoreValuesResults[Team Number],CoreValuesResults[Core Values Score],0,0,)</f>
        <v>0</v>
      </c>
      <c r="X144" s="91">
        <f>_xlfn.XLOOKUP(TournamentData[[#This Row],[Team Number]],InnovationProjectResults[Team Number],InnovationProjectResults[Innovation Project Score],0,0,)</f>
        <v>0</v>
      </c>
      <c r="Y144" s="91">
        <f>_xlfn.XLOOKUP(TournamentData[[#This Row],[Team Number]],RobotDesignResults[Team Number],RobotDesignResults[Engineering Design Score],0,0,)</f>
        <v>0</v>
      </c>
      <c r="Z14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44" s="31">
        <f t="shared" si="4"/>
        <v>8</v>
      </c>
      <c r="AB144" s="31"/>
    </row>
    <row r="145" spans="1:28" ht="21" customHeight="1" x14ac:dyDescent="0.25">
      <c r="A145">
        <f>_xlfn.XLOOKUP(143,OfficialTeamList[Row],OfficialTeamList[Team Number],"ERROR",0)</f>
        <v>0</v>
      </c>
      <c r="B145" s="27" t="str">
        <f>_xlfn.XLOOKUP(TournamentData[[#This Row],[Team Number]],OfficialTeamList[Team Number],OfficialTeamList[Team Name],"",0,)</f>
        <v/>
      </c>
      <c r="C145" s="28">
        <f>IF(TournamentData[[#This Row],[Team Number]]="","",_xlfn.XLOOKUP(TournamentData[[#This Row],[Team Number]],RobotGameScores[Team Number],RobotGameScores[Match 1 Score],0,0,))</f>
        <v>0</v>
      </c>
      <c r="D145" s="28">
        <f>IF(TournamentData[[#This Row],[Team Number]]="","",_xlfn.XLOOKUP(TournamentData[[#This Row],[Team Number]],RobotGameScores[Team Number],RobotGameScores[Match 2 Score],0,0,))</f>
        <v>0</v>
      </c>
      <c r="E145" s="28">
        <f>IF(TournamentData[[#This Row],[Team Number]]="","",_xlfn.XLOOKUP(TournamentData[[#This Row],[Team Number]],RobotGameScores[Team Number],RobotGameScores[Match 3 Score],0,0,))</f>
        <v>0</v>
      </c>
      <c r="F145" s="28">
        <f>IF(TournamentData[[#This Row],[Team Number]]="","",_xlfn.XLOOKUP(TournamentData[[#This Row],[Team Number]],RobotGameScores[Team Number],RobotGameScores[Match 4 Score],0,0,))</f>
        <v>0</v>
      </c>
      <c r="G145" s="28">
        <f>IF(TournamentData[[#This Row],[Team Number]]="","",_xlfn.XLOOKUP(TournamentData[[#This Row],[Team Number]],RobotGameScores[Team Number],RobotGameScores[Match 5 Score],0,0,))</f>
        <v>0</v>
      </c>
      <c r="H145" s="28" t="str">
        <f>IF(TournamentData[[#This Row],[Team Name]]="","",_xlfn.XLOOKUP(TournamentData[[#This Row],[Team Name]],RobotGameScores[Team Name],RobotGameScores[Match 6 Score],0,0,))</f>
        <v/>
      </c>
      <c r="I145" s="28">
        <v>0</v>
      </c>
      <c r="J145" s="28">
        <f>SUM(TournamentData[[#This Row],[Match Score 1]:[Match Score 6]])/NumberOfRounds</f>
        <v>0</v>
      </c>
      <c r="K145" s="59">
        <f>IF(TournamentData[[#This Row],[Team Number]]="","",1+COUNTIFS($J$3:$J$201,"&gt;"&amp;J145)+COUNTIFS($J$3:$J$201,J145,$I$3:$I$201,"&gt;"&amp;I145))</f>
        <v>9</v>
      </c>
      <c r="L145" s="28">
        <f>IF(TournamentData[[#This Row],[Team Number]]="","",_xlfn.XLOOKUP(TournamentData[[#This Row],[Team Number]],CoreValuesResults[Team Number],CoreValuesResults[Core Values Rank],NumberOfTeams+1,0,))</f>
        <v>9</v>
      </c>
      <c r="M145" s="28">
        <f>IF(TournamentData[[#This Row],[Team Number]]="","",_xlfn.XLOOKUP(TournamentData[[#This Row],[Team Number]],InnovationProjectResults[Team Number],InnovationProjectResults[Innovation Project Rank],NumberOfTeams+1,0,))</f>
        <v>9</v>
      </c>
      <c r="N145" s="28">
        <f>IF(TournamentData[[#This Row],[Team Number]]="","",_xlfn.XLOOKUP(TournamentData[[#This Row],[Team Number]],RobotDesignResults[Team Number],RobotDesignResults[Engineering Design Rank],NumberOfTeams+1,0,))</f>
        <v>9</v>
      </c>
      <c r="O14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45" s="29">
        <f>IF(TournamentData[[#This Row],[Team Number]]="","",IF(O145,RANK(O145,O$3:O$202,1)-COUNTIF(O$3:O$202,0),NumberOfTeams+1))</f>
        <v>9</v>
      </c>
      <c r="Q145" s="30">
        <f>_xlfn.XLOOKUP(TournamentData[[#This Row],[Team Number]],CoreValuesResults[Team Number],CoreValuesResults[Inspiration Selection],0,0,)</f>
        <v>0</v>
      </c>
      <c r="R145" s="33">
        <f>_xlfn.XLOOKUP(TournamentData[[#This Row],[Team Number]],CoreValuesResults[Team Number],CoreValuesResults[Rising All-Star Selection],0,0,)</f>
        <v>0</v>
      </c>
      <c r="S14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45" s="31"/>
      <c r="U145" s="31"/>
      <c r="V145" s="32"/>
      <c r="W145" s="91">
        <f>_xlfn.XLOOKUP(TournamentData[[#This Row],[Team Number]],CoreValuesResults[Team Number],CoreValuesResults[Core Values Score],0,0,)</f>
        <v>0</v>
      </c>
      <c r="X145" s="91">
        <f>_xlfn.XLOOKUP(TournamentData[[#This Row],[Team Number]],InnovationProjectResults[Team Number],InnovationProjectResults[Innovation Project Score],0,0,)</f>
        <v>0</v>
      </c>
      <c r="Y145" s="91">
        <f>_xlfn.XLOOKUP(TournamentData[[#This Row],[Team Number]],RobotDesignResults[Team Number],RobotDesignResults[Engineering Design Score],0,0,)</f>
        <v>0</v>
      </c>
      <c r="Z14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45" s="31">
        <f t="shared" si="4"/>
        <v>8</v>
      </c>
      <c r="AB145" s="31"/>
    </row>
    <row r="146" spans="1:28" ht="21" customHeight="1" x14ac:dyDescent="0.25">
      <c r="A146">
        <f>_xlfn.XLOOKUP(144,OfficialTeamList[Row],OfficialTeamList[Team Number],"ERROR",0)</f>
        <v>0</v>
      </c>
      <c r="B146" s="27" t="str">
        <f>_xlfn.XLOOKUP(TournamentData[[#This Row],[Team Number]],OfficialTeamList[Team Number],OfficialTeamList[Team Name],"",0,)</f>
        <v/>
      </c>
      <c r="C146" s="28">
        <f>IF(TournamentData[[#This Row],[Team Number]]="","",_xlfn.XLOOKUP(TournamentData[[#This Row],[Team Number]],RobotGameScores[Team Number],RobotGameScores[Match 1 Score],0,0,))</f>
        <v>0</v>
      </c>
      <c r="D146" s="28">
        <f>IF(TournamentData[[#This Row],[Team Number]]="","",_xlfn.XLOOKUP(TournamentData[[#This Row],[Team Number]],RobotGameScores[Team Number],RobotGameScores[Match 2 Score],0,0,))</f>
        <v>0</v>
      </c>
      <c r="E146" s="28">
        <f>IF(TournamentData[[#This Row],[Team Number]]="","",_xlfn.XLOOKUP(TournamentData[[#This Row],[Team Number]],RobotGameScores[Team Number],RobotGameScores[Match 3 Score],0,0,))</f>
        <v>0</v>
      </c>
      <c r="F146" s="28">
        <f>IF(TournamentData[[#This Row],[Team Number]]="","",_xlfn.XLOOKUP(TournamentData[[#This Row],[Team Number]],RobotGameScores[Team Number],RobotGameScores[Match 4 Score],0,0,))</f>
        <v>0</v>
      </c>
      <c r="G146" s="28">
        <f>IF(TournamentData[[#This Row],[Team Number]]="","",_xlfn.XLOOKUP(TournamentData[[#This Row],[Team Number]],RobotGameScores[Team Number],RobotGameScores[Match 5 Score],0,0,))</f>
        <v>0</v>
      </c>
      <c r="H146" s="28" t="str">
        <f>IF(TournamentData[[#This Row],[Team Name]]="","",_xlfn.XLOOKUP(TournamentData[[#This Row],[Team Name]],RobotGameScores[Team Name],RobotGameScores[Match 6 Score],0,0,))</f>
        <v/>
      </c>
      <c r="I146" s="28">
        <v>0</v>
      </c>
      <c r="J146" s="28">
        <f>SUM(TournamentData[[#This Row],[Match Score 1]:[Match Score 6]])/NumberOfRounds</f>
        <v>0</v>
      </c>
      <c r="K146" s="60">
        <f>IF(TournamentData[[#This Row],[Team Number]]="","",1+COUNTIFS($J$3:$J$201,"&gt;"&amp;J146)+COUNTIFS($J$3:$J$201,J146,$I$3:$I$201,"&gt;"&amp;I146))</f>
        <v>9</v>
      </c>
      <c r="L146" s="28">
        <f>IF(TournamentData[[#This Row],[Team Number]]="","",_xlfn.XLOOKUP(TournamentData[[#This Row],[Team Number]],CoreValuesResults[Team Number],CoreValuesResults[Core Values Rank],NumberOfTeams+1,0,))</f>
        <v>9</v>
      </c>
      <c r="M146" s="28">
        <f>IF(TournamentData[[#This Row],[Team Number]]="","",_xlfn.XLOOKUP(TournamentData[[#This Row],[Team Number]],InnovationProjectResults[Team Number],InnovationProjectResults[Innovation Project Rank],NumberOfTeams+1,0,))</f>
        <v>9</v>
      </c>
      <c r="N146" s="28">
        <f>IF(TournamentData[[#This Row],[Team Number]]="","",_xlfn.XLOOKUP(TournamentData[[#This Row],[Team Number]],RobotDesignResults[Team Number],RobotDesignResults[Engineering Design Rank],NumberOfTeams+1,0,))</f>
        <v>9</v>
      </c>
      <c r="O14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46" s="29">
        <f>IF(TournamentData[[#This Row],[Team Number]]="","",IF(O146,RANK(O146,O$3:O$202,1)-COUNTIF(O$3:O$202,0),NumberOfTeams+1))</f>
        <v>9</v>
      </c>
      <c r="Q146" s="30">
        <f>_xlfn.XLOOKUP(TournamentData[[#This Row],[Team Number]],CoreValuesResults[Team Number],CoreValuesResults[Inspiration Selection],0,0,)</f>
        <v>0</v>
      </c>
      <c r="R146" s="33">
        <f>_xlfn.XLOOKUP(TournamentData[[#This Row],[Team Number]],CoreValuesResults[Team Number],CoreValuesResults[Rising All-Star Selection],0,0,)</f>
        <v>0</v>
      </c>
      <c r="S14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46" s="31"/>
      <c r="U146" s="31"/>
      <c r="V146" s="32"/>
      <c r="W146" s="91">
        <f>_xlfn.XLOOKUP(TournamentData[[#This Row],[Team Number]],CoreValuesResults[Team Number],CoreValuesResults[Core Values Score],0,0,)</f>
        <v>0</v>
      </c>
      <c r="X146" s="91">
        <f>_xlfn.XLOOKUP(TournamentData[[#This Row],[Team Number]],InnovationProjectResults[Team Number],InnovationProjectResults[Innovation Project Score],0,0,)</f>
        <v>0</v>
      </c>
      <c r="Y146" s="91">
        <f>_xlfn.XLOOKUP(TournamentData[[#This Row],[Team Number]],RobotDesignResults[Team Number],RobotDesignResults[Engineering Design Score],0,0,)</f>
        <v>0</v>
      </c>
      <c r="Z14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46" s="31">
        <f t="shared" si="4"/>
        <v>8</v>
      </c>
      <c r="AB146" s="31"/>
    </row>
    <row r="147" spans="1:28" ht="21" customHeight="1" x14ac:dyDescent="0.25">
      <c r="A147">
        <f>_xlfn.XLOOKUP(145,OfficialTeamList[Row],OfficialTeamList[Team Number],"ERROR",0)</f>
        <v>0</v>
      </c>
      <c r="B147" s="27" t="str">
        <f>_xlfn.XLOOKUP(TournamentData[[#This Row],[Team Number]],OfficialTeamList[Team Number],OfficialTeamList[Team Name],"",0,)</f>
        <v/>
      </c>
      <c r="C147" s="28">
        <f>IF(TournamentData[[#This Row],[Team Number]]="","",_xlfn.XLOOKUP(TournamentData[[#This Row],[Team Number]],RobotGameScores[Team Number],RobotGameScores[Match 1 Score],0,0,))</f>
        <v>0</v>
      </c>
      <c r="D147" s="28">
        <f>IF(TournamentData[[#This Row],[Team Number]]="","",_xlfn.XLOOKUP(TournamentData[[#This Row],[Team Number]],RobotGameScores[Team Number],RobotGameScores[Match 2 Score],0,0,))</f>
        <v>0</v>
      </c>
      <c r="E147" s="28">
        <f>IF(TournamentData[[#This Row],[Team Number]]="","",_xlfn.XLOOKUP(TournamentData[[#This Row],[Team Number]],RobotGameScores[Team Number],RobotGameScores[Match 3 Score],0,0,))</f>
        <v>0</v>
      </c>
      <c r="F147" s="28">
        <f>IF(TournamentData[[#This Row],[Team Number]]="","",_xlfn.XLOOKUP(TournamentData[[#This Row],[Team Number]],RobotGameScores[Team Number],RobotGameScores[Match 4 Score],0,0,))</f>
        <v>0</v>
      </c>
      <c r="G147" s="28">
        <f>IF(TournamentData[[#This Row],[Team Number]]="","",_xlfn.XLOOKUP(TournamentData[[#This Row],[Team Number]],RobotGameScores[Team Number],RobotGameScores[Match 5 Score],0,0,))</f>
        <v>0</v>
      </c>
      <c r="H147" s="28" t="str">
        <f>IF(TournamentData[[#This Row],[Team Name]]="","",_xlfn.XLOOKUP(TournamentData[[#This Row],[Team Name]],RobotGameScores[Team Name],RobotGameScores[Match 6 Score],0,0,))</f>
        <v/>
      </c>
      <c r="I147" s="28">
        <v>0</v>
      </c>
      <c r="J147" s="28">
        <f>SUM(TournamentData[[#This Row],[Match Score 1]:[Match Score 6]])/NumberOfRounds</f>
        <v>0</v>
      </c>
      <c r="K147" s="59">
        <f>IF(TournamentData[[#This Row],[Team Number]]="","",1+COUNTIFS($J$3:$J$201,"&gt;"&amp;J147)+COUNTIFS($J$3:$J$201,J147,$I$3:$I$201,"&gt;"&amp;I147))</f>
        <v>9</v>
      </c>
      <c r="L147" s="28">
        <f>IF(TournamentData[[#This Row],[Team Number]]="","",_xlfn.XLOOKUP(TournamentData[[#This Row],[Team Number]],CoreValuesResults[Team Number],CoreValuesResults[Core Values Rank],NumberOfTeams+1,0,))</f>
        <v>9</v>
      </c>
      <c r="M147" s="28">
        <f>IF(TournamentData[[#This Row],[Team Number]]="","",_xlfn.XLOOKUP(TournamentData[[#This Row],[Team Number]],InnovationProjectResults[Team Number],InnovationProjectResults[Innovation Project Rank],NumberOfTeams+1,0,))</f>
        <v>9</v>
      </c>
      <c r="N147" s="28">
        <f>IF(TournamentData[[#This Row],[Team Number]]="","",_xlfn.XLOOKUP(TournamentData[[#This Row],[Team Number]],RobotDesignResults[Team Number],RobotDesignResults[Engineering Design Rank],NumberOfTeams+1,0,))</f>
        <v>9</v>
      </c>
      <c r="O14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47" s="29">
        <f>IF(TournamentData[[#This Row],[Team Number]]="","",IF(O147,RANK(O147,O$3:O$202,1)-COUNTIF(O$3:O$202,0),NumberOfTeams+1))</f>
        <v>9</v>
      </c>
      <c r="Q147" s="30">
        <f>_xlfn.XLOOKUP(TournamentData[[#This Row],[Team Number]],CoreValuesResults[Team Number],CoreValuesResults[Inspiration Selection],0,0,)</f>
        <v>0</v>
      </c>
      <c r="R147" s="33">
        <f>_xlfn.XLOOKUP(TournamentData[[#This Row],[Team Number]],CoreValuesResults[Team Number],CoreValuesResults[Rising All-Star Selection],0,0,)</f>
        <v>0</v>
      </c>
      <c r="S14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47" s="31"/>
      <c r="U147" s="31"/>
      <c r="V147" s="32"/>
      <c r="W147" s="91">
        <f>_xlfn.XLOOKUP(TournamentData[[#This Row],[Team Number]],CoreValuesResults[Team Number],CoreValuesResults[Core Values Score],0,0,)</f>
        <v>0</v>
      </c>
      <c r="X147" s="91">
        <f>_xlfn.XLOOKUP(TournamentData[[#This Row],[Team Number]],InnovationProjectResults[Team Number],InnovationProjectResults[Innovation Project Score],0,0,)</f>
        <v>0</v>
      </c>
      <c r="Y147" s="91">
        <f>_xlfn.XLOOKUP(TournamentData[[#This Row],[Team Number]],RobotDesignResults[Team Number],RobotDesignResults[Engineering Design Score],0,0,)</f>
        <v>0</v>
      </c>
      <c r="Z14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47" s="31">
        <f t="shared" si="4"/>
        <v>8</v>
      </c>
      <c r="AB147" s="31"/>
    </row>
    <row r="148" spans="1:28" ht="21" customHeight="1" x14ac:dyDescent="0.25">
      <c r="A148">
        <f>_xlfn.XLOOKUP(146,OfficialTeamList[Row],OfficialTeamList[Team Number],"ERROR",0)</f>
        <v>0</v>
      </c>
      <c r="B148" s="27" t="str">
        <f>_xlfn.XLOOKUP(TournamentData[[#This Row],[Team Number]],OfficialTeamList[Team Number],OfficialTeamList[Team Name],"",0,)</f>
        <v/>
      </c>
      <c r="C148" s="28">
        <f>IF(TournamentData[[#This Row],[Team Number]]="","",_xlfn.XLOOKUP(TournamentData[[#This Row],[Team Number]],RobotGameScores[Team Number],RobotGameScores[Match 1 Score],0,0,))</f>
        <v>0</v>
      </c>
      <c r="D148" s="28">
        <f>IF(TournamentData[[#This Row],[Team Number]]="","",_xlfn.XLOOKUP(TournamentData[[#This Row],[Team Number]],RobotGameScores[Team Number],RobotGameScores[Match 2 Score],0,0,))</f>
        <v>0</v>
      </c>
      <c r="E148" s="28">
        <f>IF(TournamentData[[#This Row],[Team Number]]="","",_xlfn.XLOOKUP(TournamentData[[#This Row],[Team Number]],RobotGameScores[Team Number],RobotGameScores[Match 3 Score],0,0,))</f>
        <v>0</v>
      </c>
      <c r="F148" s="28">
        <f>IF(TournamentData[[#This Row],[Team Number]]="","",_xlfn.XLOOKUP(TournamentData[[#This Row],[Team Number]],RobotGameScores[Team Number],RobotGameScores[Match 4 Score],0,0,))</f>
        <v>0</v>
      </c>
      <c r="G148" s="28">
        <f>IF(TournamentData[[#This Row],[Team Number]]="","",_xlfn.XLOOKUP(TournamentData[[#This Row],[Team Number]],RobotGameScores[Team Number],RobotGameScores[Match 5 Score],0,0,))</f>
        <v>0</v>
      </c>
      <c r="H148" s="28" t="str">
        <f>IF(TournamentData[[#This Row],[Team Name]]="","",_xlfn.XLOOKUP(TournamentData[[#This Row],[Team Name]],RobotGameScores[Team Name],RobotGameScores[Match 6 Score],0,0,))</f>
        <v/>
      </c>
      <c r="I148" s="28">
        <v>0</v>
      </c>
      <c r="J148" s="28">
        <f>SUM(TournamentData[[#This Row],[Match Score 1]:[Match Score 6]])/NumberOfRounds</f>
        <v>0</v>
      </c>
      <c r="K148" s="60">
        <f>IF(TournamentData[[#This Row],[Team Number]]="","",1+COUNTIFS($J$3:$J$201,"&gt;"&amp;J148)+COUNTIFS($J$3:$J$201,J148,$I$3:$I$201,"&gt;"&amp;I148))</f>
        <v>9</v>
      </c>
      <c r="L148" s="28">
        <f>IF(TournamentData[[#This Row],[Team Number]]="","",_xlfn.XLOOKUP(TournamentData[[#This Row],[Team Number]],CoreValuesResults[Team Number],CoreValuesResults[Core Values Rank],NumberOfTeams+1,0,))</f>
        <v>9</v>
      </c>
      <c r="M148" s="28">
        <f>IF(TournamentData[[#This Row],[Team Number]]="","",_xlfn.XLOOKUP(TournamentData[[#This Row],[Team Number]],InnovationProjectResults[Team Number],InnovationProjectResults[Innovation Project Rank],NumberOfTeams+1,0,))</f>
        <v>9</v>
      </c>
      <c r="N148" s="28">
        <f>IF(TournamentData[[#This Row],[Team Number]]="","",_xlfn.XLOOKUP(TournamentData[[#This Row],[Team Number]],RobotDesignResults[Team Number],RobotDesignResults[Engineering Design Rank],NumberOfTeams+1,0,))</f>
        <v>9</v>
      </c>
      <c r="O14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48" s="29">
        <f>IF(TournamentData[[#This Row],[Team Number]]="","",IF(O148,RANK(O148,O$3:O$202,1)-COUNTIF(O$3:O$202,0),NumberOfTeams+1))</f>
        <v>9</v>
      </c>
      <c r="Q148" s="30">
        <f>_xlfn.XLOOKUP(TournamentData[[#This Row],[Team Number]],CoreValuesResults[Team Number],CoreValuesResults[Inspiration Selection],0,0,)</f>
        <v>0</v>
      </c>
      <c r="R148" s="33">
        <f>_xlfn.XLOOKUP(TournamentData[[#This Row],[Team Number]],CoreValuesResults[Team Number],CoreValuesResults[Rising All-Star Selection],0,0,)</f>
        <v>0</v>
      </c>
      <c r="S14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48" s="31"/>
      <c r="U148" s="31"/>
      <c r="V148" s="32"/>
      <c r="W148" s="91">
        <f>_xlfn.XLOOKUP(TournamentData[[#This Row],[Team Number]],CoreValuesResults[Team Number],CoreValuesResults[Core Values Score],0,0,)</f>
        <v>0</v>
      </c>
      <c r="X148" s="91">
        <f>_xlfn.XLOOKUP(TournamentData[[#This Row],[Team Number]],InnovationProjectResults[Team Number],InnovationProjectResults[Innovation Project Score],0,0,)</f>
        <v>0</v>
      </c>
      <c r="Y148" s="91">
        <f>_xlfn.XLOOKUP(TournamentData[[#This Row],[Team Number]],RobotDesignResults[Team Number],RobotDesignResults[Engineering Design Score],0,0,)</f>
        <v>0</v>
      </c>
      <c r="Z14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48" s="31">
        <f t="shared" si="4"/>
        <v>8</v>
      </c>
      <c r="AB148" s="31"/>
    </row>
    <row r="149" spans="1:28" ht="21" customHeight="1" x14ac:dyDescent="0.25">
      <c r="A149">
        <f>_xlfn.XLOOKUP(147,OfficialTeamList[Row],OfficialTeamList[Team Number],"ERROR",0)</f>
        <v>0</v>
      </c>
      <c r="B149" s="27" t="str">
        <f>_xlfn.XLOOKUP(TournamentData[[#This Row],[Team Number]],OfficialTeamList[Team Number],OfficialTeamList[Team Name],"",0,)</f>
        <v/>
      </c>
      <c r="C149" s="28">
        <f>IF(TournamentData[[#This Row],[Team Number]]="","",_xlfn.XLOOKUP(TournamentData[[#This Row],[Team Number]],RobotGameScores[Team Number],RobotGameScores[Match 1 Score],0,0,))</f>
        <v>0</v>
      </c>
      <c r="D149" s="28">
        <f>IF(TournamentData[[#This Row],[Team Number]]="","",_xlfn.XLOOKUP(TournamentData[[#This Row],[Team Number]],RobotGameScores[Team Number],RobotGameScores[Match 2 Score],0,0,))</f>
        <v>0</v>
      </c>
      <c r="E149" s="28">
        <f>IF(TournamentData[[#This Row],[Team Number]]="","",_xlfn.XLOOKUP(TournamentData[[#This Row],[Team Number]],RobotGameScores[Team Number],RobotGameScores[Match 3 Score],0,0,))</f>
        <v>0</v>
      </c>
      <c r="F149" s="28">
        <f>IF(TournamentData[[#This Row],[Team Number]]="","",_xlfn.XLOOKUP(TournamentData[[#This Row],[Team Number]],RobotGameScores[Team Number],RobotGameScores[Match 4 Score],0,0,))</f>
        <v>0</v>
      </c>
      <c r="G149" s="28">
        <f>IF(TournamentData[[#This Row],[Team Number]]="","",_xlfn.XLOOKUP(TournamentData[[#This Row],[Team Number]],RobotGameScores[Team Number],RobotGameScores[Match 5 Score],0,0,))</f>
        <v>0</v>
      </c>
      <c r="H149" s="28" t="str">
        <f>IF(TournamentData[[#This Row],[Team Name]]="","",_xlfn.XLOOKUP(TournamentData[[#This Row],[Team Name]],RobotGameScores[Team Name],RobotGameScores[Match 6 Score],0,0,))</f>
        <v/>
      </c>
      <c r="I149" s="28">
        <v>0</v>
      </c>
      <c r="J149" s="28">
        <f>SUM(TournamentData[[#This Row],[Match Score 1]:[Match Score 6]])/NumberOfRounds</f>
        <v>0</v>
      </c>
      <c r="K149" s="59">
        <f>IF(TournamentData[[#This Row],[Team Number]]="","",1+COUNTIFS($J$3:$J$201,"&gt;"&amp;J149)+COUNTIFS($J$3:$J$201,J149,$I$3:$I$201,"&gt;"&amp;I149))</f>
        <v>9</v>
      </c>
      <c r="L149" s="28">
        <f>IF(TournamentData[[#This Row],[Team Number]]="","",_xlfn.XLOOKUP(TournamentData[[#This Row],[Team Number]],CoreValuesResults[Team Number],CoreValuesResults[Core Values Rank],NumberOfTeams+1,0,))</f>
        <v>9</v>
      </c>
      <c r="M149" s="28">
        <f>IF(TournamentData[[#This Row],[Team Number]]="","",_xlfn.XLOOKUP(TournamentData[[#This Row],[Team Number]],InnovationProjectResults[Team Number],InnovationProjectResults[Innovation Project Rank],NumberOfTeams+1,0,))</f>
        <v>9</v>
      </c>
      <c r="N149" s="28">
        <f>IF(TournamentData[[#This Row],[Team Number]]="","",_xlfn.XLOOKUP(TournamentData[[#This Row],[Team Number]],RobotDesignResults[Team Number],RobotDesignResults[Engineering Design Rank],NumberOfTeams+1,0,))</f>
        <v>9</v>
      </c>
      <c r="O14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49" s="29">
        <f>IF(TournamentData[[#This Row],[Team Number]]="","",IF(O149,RANK(O149,O$3:O$202,1)-COUNTIF(O$3:O$202,0),NumberOfTeams+1))</f>
        <v>9</v>
      </c>
      <c r="Q149" s="30">
        <f>_xlfn.XLOOKUP(TournamentData[[#This Row],[Team Number]],CoreValuesResults[Team Number],CoreValuesResults[Inspiration Selection],0,0,)</f>
        <v>0</v>
      </c>
      <c r="R149" s="33">
        <f>_xlfn.XLOOKUP(TournamentData[[#This Row],[Team Number]],CoreValuesResults[Team Number],CoreValuesResults[Rising All-Star Selection],0,0,)</f>
        <v>0</v>
      </c>
      <c r="S14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49" s="31"/>
      <c r="U149" s="31"/>
      <c r="V149" s="32"/>
      <c r="W149" s="91">
        <f>_xlfn.XLOOKUP(TournamentData[[#This Row],[Team Number]],CoreValuesResults[Team Number],CoreValuesResults[Core Values Score],0,0,)</f>
        <v>0</v>
      </c>
      <c r="X149" s="91">
        <f>_xlfn.XLOOKUP(TournamentData[[#This Row],[Team Number]],InnovationProjectResults[Team Number],InnovationProjectResults[Innovation Project Score],0,0,)</f>
        <v>0</v>
      </c>
      <c r="Y149" s="91">
        <f>_xlfn.XLOOKUP(TournamentData[[#This Row],[Team Number]],RobotDesignResults[Team Number],RobotDesignResults[Engineering Design Score],0,0,)</f>
        <v>0</v>
      </c>
      <c r="Z14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49" s="31">
        <f t="shared" si="4"/>
        <v>8</v>
      </c>
      <c r="AB149" s="31"/>
    </row>
    <row r="150" spans="1:28" ht="21" customHeight="1" x14ac:dyDescent="0.25">
      <c r="A150">
        <f>_xlfn.XLOOKUP(148,OfficialTeamList[Row],OfficialTeamList[Team Number],"ERROR",0)</f>
        <v>0</v>
      </c>
      <c r="B150" s="27" t="str">
        <f>_xlfn.XLOOKUP(TournamentData[[#This Row],[Team Number]],OfficialTeamList[Team Number],OfficialTeamList[Team Name],"",0,)</f>
        <v/>
      </c>
      <c r="C150" s="28">
        <f>IF(TournamentData[[#This Row],[Team Number]]="","",_xlfn.XLOOKUP(TournamentData[[#This Row],[Team Number]],RobotGameScores[Team Number],RobotGameScores[Match 1 Score],0,0,))</f>
        <v>0</v>
      </c>
      <c r="D150" s="28">
        <f>IF(TournamentData[[#This Row],[Team Number]]="","",_xlfn.XLOOKUP(TournamentData[[#This Row],[Team Number]],RobotGameScores[Team Number],RobotGameScores[Match 2 Score],0,0,))</f>
        <v>0</v>
      </c>
      <c r="E150" s="28">
        <f>IF(TournamentData[[#This Row],[Team Number]]="","",_xlfn.XLOOKUP(TournamentData[[#This Row],[Team Number]],RobotGameScores[Team Number],RobotGameScores[Match 3 Score],0,0,))</f>
        <v>0</v>
      </c>
      <c r="F150" s="28">
        <f>IF(TournamentData[[#This Row],[Team Number]]="","",_xlfn.XLOOKUP(TournamentData[[#This Row],[Team Number]],RobotGameScores[Team Number],RobotGameScores[Match 4 Score],0,0,))</f>
        <v>0</v>
      </c>
      <c r="G150" s="28">
        <f>IF(TournamentData[[#This Row],[Team Number]]="","",_xlfn.XLOOKUP(TournamentData[[#This Row],[Team Number]],RobotGameScores[Team Number],RobotGameScores[Match 5 Score],0,0,))</f>
        <v>0</v>
      </c>
      <c r="H150" s="28" t="str">
        <f>IF(TournamentData[[#This Row],[Team Name]]="","",_xlfn.XLOOKUP(TournamentData[[#This Row],[Team Name]],RobotGameScores[Team Name],RobotGameScores[Match 6 Score],0,0,))</f>
        <v/>
      </c>
      <c r="I150" s="28">
        <v>0</v>
      </c>
      <c r="J150" s="28">
        <f>SUM(TournamentData[[#This Row],[Match Score 1]:[Match Score 6]])/NumberOfRounds</f>
        <v>0</v>
      </c>
      <c r="K150" s="60">
        <f>IF(TournamentData[[#This Row],[Team Number]]="","",1+COUNTIFS($J$3:$J$201,"&gt;"&amp;J150)+COUNTIFS($J$3:$J$201,J150,$I$3:$I$201,"&gt;"&amp;I150))</f>
        <v>9</v>
      </c>
      <c r="L150" s="28">
        <f>IF(TournamentData[[#This Row],[Team Number]]="","",_xlfn.XLOOKUP(TournamentData[[#This Row],[Team Number]],CoreValuesResults[Team Number],CoreValuesResults[Core Values Rank],NumberOfTeams+1,0,))</f>
        <v>9</v>
      </c>
      <c r="M150" s="28">
        <f>IF(TournamentData[[#This Row],[Team Number]]="","",_xlfn.XLOOKUP(TournamentData[[#This Row],[Team Number]],InnovationProjectResults[Team Number],InnovationProjectResults[Innovation Project Rank],NumberOfTeams+1,0,))</f>
        <v>9</v>
      </c>
      <c r="N150" s="28">
        <f>IF(TournamentData[[#This Row],[Team Number]]="","",_xlfn.XLOOKUP(TournamentData[[#This Row],[Team Number]],RobotDesignResults[Team Number],RobotDesignResults[Engineering Design Rank],NumberOfTeams+1,0,))</f>
        <v>9</v>
      </c>
      <c r="O15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50" s="29">
        <f>IF(TournamentData[[#This Row],[Team Number]]="","",IF(O150,RANK(O150,O$3:O$202,1)-COUNTIF(O$3:O$202,0),NumberOfTeams+1))</f>
        <v>9</v>
      </c>
      <c r="Q150" s="30">
        <f>_xlfn.XLOOKUP(TournamentData[[#This Row],[Team Number]],CoreValuesResults[Team Number],CoreValuesResults[Inspiration Selection],0,0,)</f>
        <v>0</v>
      </c>
      <c r="R150" s="33">
        <f>_xlfn.XLOOKUP(TournamentData[[#This Row],[Team Number]],CoreValuesResults[Team Number],CoreValuesResults[Rising All-Star Selection],0,0,)</f>
        <v>0</v>
      </c>
      <c r="S15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50" s="31"/>
      <c r="U150" s="31"/>
      <c r="V150" s="32"/>
      <c r="W150" s="91">
        <f>_xlfn.XLOOKUP(TournamentData[[#This Row],[Team Number]],CoreValuesResults[Team Number],CoreValuesResults[Core Values Score],0,0,)</f>
        <v>0</v>
      </c>
      <c r="X150" s="91">
        <f>_xlfn.XLOOKUP(TournamentData[[#This Row],[Team Number]],InnovationProjectResults[Team Number],InnovationProjectResults[Innovation Project Score],0,0,)</f>
        <v>0</v>
      </c>
      <c r="Y150" s="91">
        <f>_xlfn.XLOOKUP(TournamentData[[#This Row],[Team Number]],RobotDesignResults[Team Number],RobotDesignResults[Engineering Design Score],0,0,)</f>
        <v>0</v>
      </c>
      <c r="Z15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50" s="31">
        <f t="shared" si="4"/>
        <v>8</v>
      </c>
      <c r="AB150" s="31"/>
    </row>
    <row r="151" spans="1:28" ht="21" customHeight="1" x14ac:dyDescent="0.25">
      <c r="A151">
        <f>_xlfn.XLOOKUP(149,OfficialTeamList[Row],OfficialTeamList[Team Number],"ERROR",0)</f>
        <v>0</v>
      </c>
      <c r="B151" s="27" t="str">
        <f>_xlfn.XLOOKUP(TournamentData[[#This Row],[Team Number]],OfficialTeamList[Team Number],OfficialTeamList[Team Name],"",0,)</f>
        <v/>
      </c>
      <c r="C151" s="28">
        <f>IF(TournamentData[[#This Row],[Team Number]]="","",_xlfn.XLOOKUP(TournamentData[[#This Row],[Team Number]],RobotGameScores[Team Number],RobotGameScores[Match 1 Score],0,0,))</f>
        <v>0</v>
      </c>
      <c r="D151" s="28">
        <f>IF(TournamentData[[#This Row],[Team Number]]="","",_xlfn.XLOOKUP(TournamentData[[#This Row],[Team Number]],RobotGameScores[Team Number],RobotGameScores[Match 2 Score],0,0,))</f>
        <v>0</v>
      </c>
      <c r="E151" s="28">
        <f>IF(TournamentData[[#This Row],[Team Number]]="","",_xlfn.XLOOKUP(TournamentData[[#This Row],[Team Number]],RobotGameScores[Team Number],RobotGameScores[Match 3 Score],0,0,))</f>
        <v>0</v>
      </c>
      <c r="F151" s="28">
        <f>IF(TournamentData[[#This Row],[Team Number]]="","",_xlfn.XLOOKUP(TournamentData[[#This Row],[Team Number]],RobotGameScores[Team Number],RobotGameScores[Match 4 Score],0,0,))</f>
        <v>0</v>
      </c>
      <c r="G151" s="28">
        <f>IF(TournamentData[[#This Row],[Team Number]]="","",_xlfn.XLOOKUP(TournamentData[[#This Row],[Team Number]],RobotGameScores[Team Number],RobotGameScores[Match 5 Score],0,0,))</f>
        <v>0</v>
      </c>
      <c r="H151" s="28" t="str">
        <f>IF(TournamentData[[#This Row],[Team Name]]="","",_xlfn.XLOOKUP(TournamentData[[#This Row],[Team Name]],RobotGameScores[Team Name],RobotGameScores[Match 6 Score],0,0,))</f>
        <v/>
      </c>
      <c r="I151" s="28">
        <v>0</v>
      </c>
      <c r="J151" s="28">
        <f>SUM(TournamentData[[#This Row],[Match Score 1]:[Match Score 6]])/NumberOfRounds</f>
        <v>0</v>
      </c>
      <c r="K151" s="59">
        <f>IF(TournamentData[[#This Row],[Team Number]]="","",1+COUNTIFS($J$3:$J$201,"&gt;"&amp;J151)+COUNTIFS($J$3:$J$201,J151,$I$3:$I$201,"&gt;"&amp;I151))</f>
        <v>9</v>
      </c>
      <c r="L151" s="28">
        <f>IF(TournamentData[[#This Row],[Team Number]]="","",_xlfn.XLOOKUP(TournamentData[[#This Row],[Team Number]],CoreValuesResults[Team Number],CoreValuesResults[Core Values Rank],NumberOfTeams+1,0,))</f>
        <v>9</v>
      </c>
      <c r="M151" s="28">
        <f>IF(TournamentData[[#This Row],[Team Number]]="","",_xlfn.XLOOKUP(TournamentData[[#This Row],[Team Number]],InnovationProjectResults[Team Number],InnovationProjectResults[Innovation Project Rank],NumberOfTeams+1,0,))</f>
        <v>9</v>
      </c>
      <c r="N151" s="28">
        <f>IF(TournamentData[[#This Row],[Team Number]]="","",_xlfn.XLOOKUP(TournamentData[[#This Row],[Team Number]],RobotDesignResults[Team Number],RobotDesignResults[Engineering Design Rank],NumberOfTeams+1,0,))</f>
        <v>9</v>
      </c>
      <c r="O15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51" s="29">
        <f>IF(TournamentData[[#This Row],[Team Number]]="","",IF(O151,RANK(O151,O$3:O$202,1)-COUNTIF(O$3:O$202,0),NumberOfTeams+1))</f>
        <v>9</v>
      </c>
      <c r="Q151" s="30">
        <f>_xlfn.XLOOKUP(TournamentData[[#This Row],[Team Number]],CoreValuesResults[Team Number],CoreValuesResults[Inspiration Selection],0,0,)</f>
        <v>0</v>
      </c>
      <c r="R151" s="33">
        <f>_xlfn.XLOOKUP(TournamentData[[#This Row],[Team Number]],CoreValuesResults[Team Number],CoreValuesResults[Rising All-Star Selection],0,0,)</f>
        <v>0</v>
      </c>
      <c r="S15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51" s="31"/>
      <c r="U151" s="31"/>
      <c r="V151" s="32"/>
      <c r="W151" s="91">
        <f>_xlfn.XLOOKUP(TournamentData[[#This Row],[Team Number]],CoreValuesResults[Team Number],CoreValuesResults[Core Values Score],0,0,)</f>
        <v>0</v>
      </c>
      <c r="X151" s="91">
        <f>_xlfn.XLOOKUP(TournamentData[[#This Row],[Team Number]],InnovationProjectResults[Team Number],InnovationProjectResults[Innovation Project Score],0,0,)</f>
        <v>0</v>
      </c>
      <c r="Y151" s="91">
        <f>_xlfn.XLOOKUP(TournamentData[[#This Row],[Team Number]],RobotDesignResults[Team Number],RobotDesignResults[Engineering Design Score],0,0,)</f>
        <v>0</v>
      </c>
      <c r="Z15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51" s="31">
        <f t="shared" si="4"/>
        <v>8</v>
      </c>
      <c r="AB151" s="31"/>
    </row>
    <row r="152" spans="1:28" ht="21" customHeight="1" x14ac:dyDescent="0.25">
      <c r="A152">
        <f>_xlfn.XLOOKUP(150,OfficialTeamList[Row],OfficialTeamList[Team Number],"ERROR",0)</f>
        <v>0</v>
      </c>
      <c r="B152" s="27" t="str">
        <f>_xlfn.XLOOKUP(TournamentData[[#This Row],[Team Number]],OfficialTeamList[Team Number],OfficialTeamList[Team Name],"",0,)</f>
        <v/>
      </c>
      <c r="C152" s="28">
        <f>IF(TournamentData[[#This Row],[Team Number]]="","",_xlfn.XLOOKUP(TournamentData[[#This Row],[Team Number]],RobotGameScores[Team Number],RobotGameScores[Match 1 Score],0,0,))</f>
        <v>0</v>
      </c>
      <c r="D152" s="28">
        <f>IF(TournamentData[[#This Row],[Team Number]]="","",_xlfn.XLOOKUP(TournamentData[[#This Row],[Team Number]],RobotGameScores[Team Number],RobotGameScores[Match 2 Score],0,0,))</f>
        <v>0</v>
      </c>
      <c r="E152" s="28">
        <f>IF(TournamentData[[#This Row],[Team Number]]="","",_xlfn.XLOOKUP(TournamentData[[#This Row],[Team Number]],RobotGameScores[Team Number],RobotGameScores[Match 3 Score],0,0,))</f>
        <v>0</v>
      </c>
      <c r="F152" s="28">
        <f>IF(TournamentData[[#This Row],[Team Number]]="","",_xlfn.XLOOKUP(TournamentData[[#This Row],[Team Number]],RobotGameScores[Team Number],RobotGameScores[Match 4 Score],0,0,))</f>
        <v>0</v>
      </c>
      <c r="G152" s="28">
        <f>IF(TournamentData[[#This Row],[Team Number]]="","",_xlfn.XLOOKUP(TournamentData[[#This Row],[Team Number]],RobotGameScores[Team Number],RobotGameScores[Match 5 Score],0,0,))</f>
        <v>0</v>
      </c>
      <c r="H152" s="28" t="str">
        <f>IF(TournamentData[[#This Row],[Team Name]]="","",_xlfn.XLOOKUP(TournamentData[[#This Row],[Team Name]],RobotGameScores[Team Name],RobotGameScores[Match 6 Score],0,0,))</f>
        <v/>
      </c>
      <c r="I152" s="28">
        <v>0</v>
      </c>
      <c r="J152" s="28">
        <f>SUM(TournamentData[[#This Row],[Match Score 1]:[Match Score 6]])/NumberOfRounds</f>
        <v>0</v>
      </c>
      <c r="K152" s="60">
        <f>IF(TournamentData[[#This Row],[Team Number]]="","",1+COUNTIFS($J$3:$J$201,"&gt;"&amp;J152)+COUNTIFS($J$3:$J$201,J152,$I$3:$I$201,"&gt;"&amp;I152))</f>
        <v>9</v>
      </c>
      <c r="L152" s="28">
        <f>IF(TournamentData[[#This Row],[Team Number]]="","",_xlfn.XLOOKUP(TournamentData[[#This Row],[Team Number]],CoreValuesResults[Team Number],CoreValuesResults[Core Values Rank],NumberOfTeams+1,0,))</f>
        <v>9</v>
      </c>
      <c r="M152" s="28">
        <f>IF(TournamentData[[#This Row],[Team Number]]="","",_xlfn.XLOOKUP(TournamentData[[#This Row],[Team Number]],InnovationProjectResults[Team Number],InnovationProjectResults[Innovation Project Rank],NumberOfTeams+1,0,))</f>
        <v>9</v>
      </c>
      <c r="N152" s="28">
        <f>IF(TournamentData[[#This Row],[Team Number]]="","",_xlfn.XLOOKUP(TournamentData[[#This Row],[Team Number]],RobotDesignResults[Team Number],RobotDesignResults[Engineering Design Rank],NumberOfTeams+1,0,))</f>
        <v>9</v>
      </c>
      <c r="O15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52" s="29">
        <f>IF(TournamentData[[#This Row],[Team Number]]="","",IF(O152,RANK(O152,O$3:O$202,1)-COUNTIF(O$3:O$202,0),NumberOfTeams+1))</f>
        <v>9</v>
      </c>
      <c r="Q152" s="30">
        <f>_xlfn.XLOOKUP(TournamentData[[#This Row],[Team Number]],CoreValuesResults[Team Number],CoreValuesResults[Inspiration Selection],0,0,)</f>
        <v>0</v>
      </c>
      <c r="R152" s="33">
        <f>_xlfn.XLOOKUP(TournamentData[[#This Row],[Team Number]],CoreValuesResults[Team Number],CoreValuesResults[Rising All-Star Selection],0,0,)</f>
        <v>0</v>
      </c>
      <c r="S15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52" s="31"/>
      <c r="U152" s="31"/>
      <c r="V152" s="32"/>
      <c r="W152" s="91">
        <f>_xlfn.XLOOKUP(TournamentData[[#This Row],[Team Number]],CoreValuesResults[Team Number],CoreValuesResults[Core Values Score],0,0,)</f>
        <v>0</v>
      </c>
      <c r="X152" s="91">
        <f>_xlfn.XLOOKUP(TournamentData[[#This Row],[Team Number]],InnovationProjectResults[Team Number],InnovationProjectResults[Innovation Project Score],0,0,)</f>
        <v>0</v>
      </c>
      <c r="Y152" s="91">
        <f>_xlfn.XLOOKUP(TournamentData[[#This Row],[Team Number]],RobotDesignResults[Team Number],RobotDesignResults[Engineering Design Score],0,0,)</f>
        <v>0</v>
      </c>
      <c r="Z15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52" s="31">
        <f t="shared" si="4"/>
        <v>8</v>
      </c>
      <c r="AB152" s="31"/>
    </row>
    <row r="153" spans="1:28" ht="21" customHeight="1" x14ac:dyDescent="0.25">
      <c r="A153">
        <f>_xlfn.XLOOKUP(151,OfficialTeamList[Row],OfficialTeamList[Team Number],"ERROR",0)</f>
        <v>0</v>
      </c>
      <c r="B153" s="27" t="str">
        <f>_xlfn.XLOOKUP(TournamentData[[#This Row],[Team Number]],OfficialTeamList[Team Number],OfficialTeamList[Team Name],"",0,)</f>
        <v/>
      </c>
      <c r="C153" s="28">
        <f>IF(TournamentData[[#This Row],[Team Number]]="","",_xlfn.XLOOKUP(TournamentData[[#This Row],[Team Number]],RobotGameScores[Team Number],RobotGameScores[Match 1 Score],0,0,))</f>
        <v>0</v>
      </c>
      <c r="D153" s="28">
        <f>IF(TournamentData[[#This Row],[Team Number]]="","",_xlfn.XLOOKUP(TournamentData[[#This Row],[Team Number]],RobotGameScores[Team Number],RobotGameScores[Match 2 Score],0,0,))</f>
        <v>0</v>
      </c>
      <c r="E153" s="28">
        <f>IF(TournamentData[[#This Row],[Team Number]]="","",_xlfn.XLOOKUP(TournamentData[[#This Row],[Team Number]],RobotGameScores[Team Number],RobotGameScores[Match 3 Score],0,0,))</f>
        <v>0</v>
      </c>
      <c r="F153" s="28">
        <f>IF(TournamentData[[#This Row],[Team Number]]="","",_xlfn.XLOOKUP(TournamentData[[#This Row],[Team Number]],RobotGameScores[Team Number],RobotGameScores[Match 4 Score],0,0,))</f>
        <v>0</v>
      </c>
      <c r="G153" s="28">
        <f>IF(TournamentData[[#This Row],[Team Number]]="","",_xlfn.XLOOKUP(TournamentData[[#This Row],[Team Number]],RobotGameScores[Team Number],RobotGameScores[Match 5 Score],0,0,))</f>
        <v>0</v>
      </c>
      <c r="H153" s="28" t="str">
        <f>IF(TournamentData[[#This Row],[Team Name]]="","",_xlfn.XLOOKUP(TournamentData[[#This Row],[Team Name]],RobotGameScores[Team Name],RobotGameScores[Match 6 Score],0,0,))</f>
        <v/>
      </c>
      <c r="I153" s="28">
        <v>0</v>
      </c>
      <c r="J153" s="28">
        <f>SUM(TournamentData[[#This Row],[Match Score 1]:[Match Score 6]])/NumberOfRounds</f>
        <v>0</v>
      </c>
      <c r="K153" s="59">
        <f>IF(TournamentData[[#This Row],[Team Number]]="","",1+COUNTIFS($J$3:$J$201,"&gt;"&amp;J153)+COUNTIFS($J$3:$J$201,J153,$I$3:$I$201,"&gt;"&amp;I153))</f>
        <v>9</v>
      </c>
      <c r="L153" s="28">
        <f>IF(TournamentData[[#This Row],[Team Number]]="","",_xlfn.XLOOKUP(TournamentData[[#This Row],[Team Number]],CoreValuesResults[Team Number],CoreValuesResults[Core Values Rank],NumberOfTeams+1,0,))</f>
        <v>9</v>
      </c>
      <c r="M153" s="28">
        <f>IF(TournamentData[[#This Row],[Team Number]]="","",_xlfn.XLOOKUP(TournamentData[[#This Row],[Team Number]],InnovationProjectResults[Team Number],InnovationProjectResults[Innovation Project Rank],NumberOfTeams+1,0,))</f>
        <v>9</v>
      </c>
      <c r="N153" s="28">
        <f>IF(TournamentData[[#This Row],[Team Number]]="","",_xlfn.XLOOKUP(TournamentData[[#This Row],[Team Number]],RobotDesignResults[Team Number],RobotDesignResults[Engineering Design Rank],NumberOfTeams+1,0,))</f>
        <v>9</v>
      </c>
      <c r="O15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53" s="29">
        <f>IF(TournamentData[[#This Row],[Team Number]]="","",IF(O153,RANK(O153,O$3:O$202,1)-COUNTIF(O$3:O$202,0),NumberOfTeams+1))</f>
        <v>9</v>
      </c>
      <c r="Q153" s="30">
        <f>_xlfn.XLOOKUP(TournamentData[[#This Row],[Team Number]],CoreValuesResults[Team Number],CoreValuesResults[Inspiration Selection],0,0,)</f>
        <v>0</v>
      </c>
      <c r="R153" s="33">
        <f>_xlfn.XLOOKUP(TournamentData[[#This Row],[Team Number]],CoreValuesResults[Team Number],CoreValuesResults[Rising All-Star Selection],0,0,)</f>
        <v>0</v>
      </c>
      <c r="S15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53" s="31"/>
      <c r="U153" s="31"/>
      <c r="V153" s="32"/>
      <c r="W153" s="91">
        <f>_xlfn.XLOOKUP(TournamentData[[#This Row],[Team Number]],CoreValuesResults[Team Number],CoreValuesResults[Core Values Score],0,0,)</f>
        <v>0</v>
      </c>
      <c r="X153" s="91">
        <f>_xlfn.XLOOKUP(TournamentData[[#This Row],[Team Number]],InnovationProjectResults[Team Number],InnovationProjectResults[Innovation Project Score],0,0,)</f>
        <v>0</v>
      </c>
      <c r="Y153" s="91">
        <f>_xlfn.XLOOKUP(TournamentData[[#This Row],[Team Number]],RobotDesignResults[Team Number],RobotDesignResults[Engineering Design Score],0,0,)</f>
        <v>0</v>
      </c>
      <c r="Z15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53" s="31">
        <f t="shared" si="4"/>
        <v>8</v>
      </c>
      <c r="AB153" s="31"/>
    </row>
    <row r="154" spans="1:28" ht="21" customHeight="1" x14ac:dyDescent="0.25">
      <c r="A154">
        <f>_xlfn.XLOOKUP(152,OfficialTeamList[Row],OfficialTeamList[Team Number],"ERROR",0)</f>
        <v>0</v>
      </c>
      <c r="B154" s="27" t="str">
        <f>_xlfn.XLOOKUP(TournamentData[[#This Row],[Team Number]],OfficialTeamList[Team Number],OfficialTeamList[Team Name],"",0,)</f>
        <v/>
      </c>
      <c r="C154" s="28">
        <f>IF(TournamentData[[#This Row],[Team Number]]="","",_xlfn.XLOOKUP(TournamentData[[#This Row],[Team Number]],RobotGameScores[Team Number],RobotGameScores[Match 1 Score],0,0,))</f>
        <v>0</v>
      </c>
      <c r="D154" s="28">
        <f>IF(TournamentData[[#This Row],[Team Number]]="","",_xlfn.XLOOKUP(TournamentData[[#This Row],[Team Number]],RobotGameScores[Team Number],RobotGameScores[Match 2 Score],0,0,))</f>
        <v>0</v>
      </c>
      <c r="E154" s="28">
        <f>IF(TournamentData[[#This Row],[Team Number]]="","",_xlfn.XLOOKUP(TournamentData[[#This Row],[Team Number]],RobotGameScores[Team Number],RobotGameScores[Match 3 Score],0,0,))</f>
        <v>0</v>
      </c>
      <c r="F154" s="28">
        <f>IF(TournamentData[[#This Row],[Team Number]]="","",_xlfn.XLOOKUP(TournamentData[[#This Row],[Team Number]],RobotGameScores[Team Number],RobotGameScores[Match 4 Score],0,0,))</f>
        <v>0</v>
      </c>
      <c r="G154" s="28">
        <f>IF(TournamentData[[#This Row],[Team Number]]="","",_xlfn.XLOOKUP(TournamentData[[#This Row],[Team Number]],RobotGameScores[Team Number],RobotGameScores[Match 5 Score],0,0,))</f>
        <v>0</v>
      </c>
      <c r="H154" s="28" t="str">
        <f>IF(TournamentData[[#This Row],[Team Name]]="","",_xlfn.XLOOKUP(TournamentData[[#This Row],[Team Name]],RobotGameScores[Team Name],RobotGameScores[Match 6 Score],0,0,))</f>
        <v/>
      </c>
      <c r="I154" s="28">
        <v>0</v>
      </c>
      <c r="J154" s="28">
        <f>SUM(TournamentData[[#This Row],[Match Score 1]:[Match Score 6]])/NumberOfRounds</f>
        <v>0</v>
      </c>
      <c r="K154" s="60">
        <f>IF(TournamentData[[#This Row],[Team Number]]="","",1+COUNTIFS($J$3:$J$201,"&gt;"&amp;J154)+COUNTIFS($J$3:$J$201,J154,$I$3:$I$201,"&gt;"&amp;I154))</f>
        <v>9</v>
      </c>
      <c r="L154" s="28">
        <f>IF(TournamentData[[#This Row],[Team Number]]="","",_xlfn.XLOOKUP(TournamentData[[#This Row],[Team Number]],CoreValuesResults[Team Number],CoreValuesResults[Core Values Rank],NumberOfTeams+1,0,))</f>
        <v>9</v>
      </c>
      <c r="M154" s="28">
        <f>IF(TournamentData[[#This Row],[Team Number]]="","",_xlfn.XLOOKUP(TournamentData[[#This Row],[Team Number]],InnovationProjectResults[Team Number],InnovationProjectResults[Innovation Project Rank],NumberOfTeams+1,0,))</f>
        <v>9</v>
      </c>
      <c r="N154" s="28">
        <f>IF(TournamentData[[#This Row],[Team Number]]="","",_xlfn.XLOOKUP(TournamentData[[#This Row],[Team Number]],RobotDesignResults[Team Number],RobotDesignResults[Engineering Design Rank],NumberOfTeams+1,0,))</f>
        <v>9</v>
      </c>
      <c r="O15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54" s="29">
        <f>IF(TournamentData[[#This Row],[Team Number]]="","",IF(O154,RANK(O154,O$3:O$202,1)-COUNTIF(O$3:O$202,0),NumberOfTeams+1))</f>
        <v>9</v>
      </c>
      <c r="Q154" s="30">
        <f>_xlfn.XLOOKUP(TournamentData[[#This Row],[Team Number]],CoreValuesResults[Team Number],CoreValuesResults[Inspiration Selection],0,0,)</f>
        <v>0</v>
      </c>
      <c r="R154" s="33">
        <f>_xlfn.XLOOKUP(TournamentData[[#This Row],[Team Number]],CoreValuesResults[Team Number],CoreValuesResults[Rising All-Star Selection],0,0,)</f>
        <v>0</v>
      </c>
      <c r="S15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54" s="31"/>
      <c r="U154" s="31"/>
      <c r="V154" s="32"/>
      <c r="W154" s="91">
        <f>_xlfn.XLOOKUP(TournamentData[[#This Row],[Team Number]],CoreValuesResults[Team Number],CoreValuesResults[Core Values Score],0,0,)</f>
        <v>0</v>
      </c>
      <c r="X154" s="91">
        <f>_xlfn.XLOOKUP(TournamentData[[#This Row],[Team Number]],InnovationProjectResults[Team Number],InnovationProjectResults[Innovation Project Score],0,0,)</f>
        <v>0</v>
      </c>
      <c r="Y154" s="91">
        <f>_xlfn.XLOOKUP(TournamentData[[#This Row],[Team Number]],RobotDesignResults[Team Number],RobotDesignResults[Engineering Design Score],0,0,)</f>
        <v>0</v>
      </c>
      <c r="Z15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54" s="31">
        <f t="shared" si="4"/>
        <v>8</v>
      </c>
      <c r="AB154" s="31"/>
    </row>
    <row r="155" spans="1:28" ht="21" customHeight="1" x14ac:dyDescent="0.25">
      <c r="A155">
        <f>_xlfn.XLOOKUP(153,OfficialTeamList[Row],OfficialTeamList[Team Number],"ERROR",0)</f>
        <v>0</v>
      </c>
      <c r="B155" s="27" t="str">
        <f>_xlfn.XLOOKUP(TournamentData[[#This Row],[Team Number]],OfficialTeamList[Team Number],OfficialTeamList[Team Name],"",0,)</f>
        <v/>
      </c>
      <c r="C155" s="28">
        <f>IF(TournamentData[[#This Row],[Team Number]]="","",_xlfn.XLOOKUP(TournamentData[[#This Row],[Team Number]],RobotGameScores[Team Number],RobotGameScores[Match 1 Score],0,0,))</f>
        <v>0</v>
      </c>
      <c r="D155" s="28">
        <f>IF(TournamentData[[#This Row],[Team Number]]="","",_xlfn.XLOOKUP(TournamentData[[#This Row],[Team Number]],RobotGameScores[Team Number],RobotGameScores[Match 2 Score],0,0,))</f>
        <v>0</v>
      </c>
      <c r="E155" s="28">
        <f>IF(TournamentData[[#This Row],[Team Number]]="","",_xlfn.XLOOKUP(TournamentData[[#This Row],[Team Number]],RobotGameScores[Team Number],RobotGameScores[Match 3 Score],0,0,))</f>
        <v>0</v>
      </c>
      <c r="F155" s="28">
        <f>IF(TournamentData[[#This Row],[Team Number]]="","",_xlfn.XLOOKUP(TournamentData[[#This Row],[Team Number]],RobotGameScores[Team Number],RobotGameScores[Match 4 Score],0,0,))</f>
        <v>0</v>
      </c>
      <c r="G155" s="28">
        <f>IF(TournamentData[[#This Row],[Team Number]]="","",_xlfn.XLOOKUP(TournamentData[[#This Row],[Team Number]],RobotGameScores[Team Number],RobotGameScores[Match 5 Score],0,0,))</f>
        <v>0</v>
      </c>
      <c r="H155" s="28" t="str">
        <f>IF(TournamentData[[#This Row],[Team Name]]="","",_xlfn.XLOOKUP(TournamentData[[#This Row],[Team Name]],RobotGameScores[Team Name],RobotGameScores[Match 6 Score],0,0,))</f>
        <v/>
      </c>
      <c r="I155" s="28">
        <v>0</v>
      </c>
      <c r="J155" s="28">
        <f>SUM(TournamentData[[#This Row],[Match Score 1]:[Match Score 6]])/NumberOfRounds</f>
        <v>0</v>
      </c>
      <c r="K155" s="59">
        <f>IF(TournamentData[[#This Row],[Team Number]]="","",1+COUNTIFS($J$3:$J$201,"&gt;"&amp;J155)+COUNTIFS($J$3:$J$201,J155,$I$3:$I$201,"&gt;"&amp;I155))</f>
        <v>9</v>
      </c>
      <c r="L155" s="28">
        <f>IF(TournamentData[[#This Row],[Team Number]]="","",_xlfn.XLOOKUP(TournamentData[[#This Row],[Team Number]],CoreValuesResults[Team Number],CoreValuesResults[Core Values Rank],NumberOfTeams+1,0,))</f>
        <v>9</v>
      </c>
      <c r="M155" s="28">
        <f>IF(TournamentData[[#This Row],[Team Number]]="","",_xlfn.XLOOKUP(TournamentData[[#This Row],[Team Number]],InnovationProjectResults[Team Number],InnovationProjectResults[Innovation Project Rank],NumberOfTeams+1,0,))</f>
        <v>9</v>
      </c>
      <c r="N155" s="28">
        <f>IF(TournamentData[[#This Row],[Team Number]]="","",_xlfn.XLOOKUP(TournamentData[[#This Row],[Team Number]],RobotDesignResults[Team Number],RobotDesignResults[Engineering Design Rank],NumberOfTeams+1,0,))</f>
        <v>9</v>
      </c>
      <c r="O15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55" s="29">
        <f>IF(TournamentData[[#This Row],[Team Number]]="","",IF(O155,RANK(O155,O$3:O$202,1)-COUNTIF(O$3:O$202,0),NumberOfTeams+1))</f>
        <v>9</v>
      </c>
      <c r="Q155" s="30">
        <f>_xlfn.XLOOKUP(TournamentData[[#This Row],[Team Number]],CoreValuesResults[Team Number],CoreValuesResults[Inspiration Selection],0,0,)</f>
        <v>0</v>
      </c>
      <c r="R155" s="33">
        <f>_xlfn.XLOOKUP(TournamentData[[#This Row],[Team Number]],CoreValuesResults[Team Number],CoreValuesResults[Rising All-Star Selection],0,0,)</f>
        <v>0</v>
      </c>
      <c r="S15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55" s="31"/>
      <c r="U155" s="31"/>
      <c r="V155" s="32"/>
      <c r="W155" s="91">
        <f>_xlfn.XLOOKUP(TournamentData[[#This Row],[Team Number]],CoreValuesResults[Team Number],CoreValuesResults[Core Values Score],0,0,)</f>
        <v>0</v>
      </c>
      <c r="X155" s="91">
        <f>_xlfn.XLOOKUP(TournamentData[[#This Row],[Team Number]],InnovationProjectResults[Team Number],InnovationProjectResults[Innovation Project Score],0,0,)</f>
        <v>0</v>
      </c>
      <c r="Y155" s="91">
        <f>_xlfn.XLOOKUP(TournamentData[[#This Row],[Team Number]],RobotDesignResults[Team Number],RobotDesignResults[Engineering Design Score],0,0,)</f>
        <v>0</v>
      </c>
      <c r="Z15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55" s="31">
        <f t="shared" si="4"/>
        <v>8</v>
      </c>
      <c r="AB155" s="31"/>
    </row>
    <row r="156" spans="1:28" ht="21" customHeight="1" x14ac:dyDescent="0.25">
      <c r="A156">
        <f>_xlfn.XLOOKUP(154,OfficialTeamList[Row],OfficialTeamList[Team Number],"ERROR",0)</f>
        <v>0</v>
      </c>
      <c r="B156" s="27" t="str">
        <f>_xlfn.XLOOKUP(TournamentData[[#This Row],[Team Number]],OfficialTeamList[Team Number],OfficialTeamList[Team Name],"",0,)</f>
        <v/>
      </c>
      <c r="C156" s="28">
        <f>IF(TournamentData[[#This Row],[Team Number]]="","",_xlfn.XLOOKUP(TournamentData[[#This Row],[Team Number]],RobotGameScores[Team Number],RobotGameScores[Match 1 Score],0,0,))</f>
        <v>0</v>
      </c>
      <c r="D156" s="28">
        <f>IF(TournamentData[[#This Row],[Team Number]]="","",_xlfn.XLOOKUP(TournamentData[[#This Row],[Team Number]],RobotGameScores[Team Number],RobotGameScores[Match 2 Score],0,0,))</f>
        <v>0</v>
      </c>
      <c r="E156" s="28">
        <f>IF(TournamentData[[#This Row],[Team Number]]="","",_xlfn.XLOOKUP(TournamentData[[#This Row],[Team Number]],RobotGameScores[Team Number],RobotGameScores[Match 3 Score],0,0,))</f>
        <v>0</v>
      </c>
      <c r="F156" s="28">
        <f>IF(TournamentData[[#This Row],[Team Number]]="","",_xlfn.XLOOKUP(TournamentData[[#This Row],[Team Number]],RobotGameScores[Team Number],RobotGameScores[Match 4 Score],0,0,))</f>
        <v>0</v>
      </c>
      <c r="G156" s="28">
        <f>IF(TournamentData[[#This Row],[Team Number]]="","",_xlfn.XLOOKUP(TournamentData[[#This Row],[Team Number]],RobotGameScores[Team Number],RobotGameScores[Match 5 Score],0,0,))</f>
        <v>0</v>
      </c>
      <c r="H156" s="28" t="str">
        <f>IF(TournamentData[[#This Row],[Team Name]]="","",_xlfn.XLOOKUP(TournamentData[[#This Row],[Team Name]],RobotGameScores[Team Name],RobotGameScores[Match 6 Score],0,0,))</f>
        <v/>
      </c>
      <c r="I156" s="28">
        <v>0</v>
      </c>
      <c r="J156" s="28">
        <f>SUM(TournamentData[[#This Row],[Match Score 1]:[Match Score 6]])/NumberOfRounds</f>
        <v>0</v>
      </c>
      <c r="K156" s="60">
        <f>IF(TournamentData[[#This Row],[Team Number]]="","",1+COUNTIFS($J$3:$J$201,"&gt;"&amp;J156)+COUNTIFS($J$3:$J$201,J156,$I$3:$I$201,"&gt;"&amp;I156))</f>
        <v>9</v>
      </c>
      <c r="L156" s="28">
        <f>IF(TournamentData[[#This Row],[Team Number]]="","",_xlfn.XLOOKUP(TournamentData[[#This Row],[Team Number]],CoreValuesResults[Team Number],CoreValuesResults[Core Values Rank],NumberOfTeams+1,0,))</f>
        <v>9</v>
      </c>
      <c r="M156" s="28">
        <f>IF(TournamentData[[#This Row],[Team Number]]="","",_xlfn.XLOOKUP(TournamentData[[#This Row],[Team Number]],InnovationProjectResults[Team Number],InnovationProjectResults[Innovation Project Rank],NumberOfTeams+1,0,))</f>
        <v>9</v>
      </c>
      <c r="N156" s="28">
        <f>IF(TournamentData[[#This Row],[Team Number]]="","",_xlfn.XLOOKUP(TournamentData[[#This Row],[Team Number]],RobotDesignResults[Team Number],RobotDesignResults[Engineering Design Rank],NumberOfTeams+1,0,))</f>
        <v>9</v>
      </c>
      <c r="O15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56" s="29">
        <f>IF(TournamentData[[#This Row],[Team Number]]="","",IF(O156,RANK(O156,O$3:O$202,1)-COUNTIF(O$3:O$202,0),NumberOfTeams+1))</f>
        <v>9</v>
      </c>
      <c r="Q156" s="30">
        <f>_xlfn.XLOOKUP(TournamentData[[#This Row],[Team Number]],CoreValuesResults[Team Number],CoreValuesResults[Inspiration Selection],0,0,)</f>
        <v>0</v>
      </c>
      <c r="R156" s="33">
        <f>_xlfn.XLOOKUP(TournamentData[[#This Row],[Team Number]],CoreValuesResults[Team Number],CoreValuesResults[Rising All-Star Selection],0,0,)</f>
        <v>0</v>
      </c>
      <c r="S15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56" s="31"/>
      <c r="U156" s="31"/>
      <c r="V156" s="32"/>
      <c r="W156" s="91">
        <f>_xlfn.XLOOKUP(TournamentData[[#This Row],[Team Number]],CoreValuesResults[Team Number],CoreValuesResults[Core Values Score],0,0,)</f>
        <v>0</v>
      </c>
      <c r="X156" s="91">
        <f>_xlfn.XLOOKUP(TournamentData[[#This Row],[Team Number]],InnovationProjectResults[Team Number],InnovationProjectResults[Innovation Project Score],0,0,)</f>
        <v>0</v>
      </c>
      <c r="Y156" s="91">
        <f>_xlfn.XLOOKUP(TournamentData[[#This Row],[Team Number]],RobotDesignResults[Team Number],RobotDesignResults[Engineering Design Score],0,0,)</f>
        <v>0</v>
      </c>
      <c r="Z15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56" s="31">
        <f t="shared" si="4"/>
        <v>8</v>
      </c>
      <c r="AB156" s="31"/>
    </row>
    <row r="157" spans="1:28" ht="21" customHeight="1" x14ac:dyDescent="0.25">
      <c r="A157">
        <f>_xlfn.XLOOKUP(155,OfficialTeamList[Row],OfficialTeamList[Team Number],"ERROR",0)</f>
        <v>0</v>
      </c>
      <c r="B157" s="27" t="str">
        <f>_xlfn.XLOOKUP(TournamentData[[#This Row],[Team Number]],OfficialTeamList[Team Number],OfficialTeamList[Team Name],"",0,)</f>
        <v/>
      </c>
      <c r="C157" s="28">
        <f>IF(TournamentData[[#This Row],[Team Number]]="","",_xlfn.XLOOKUP(TournamentData[[#This Row],[Team Number]],RobotGameScores[Team Number],RobotGameScores[Match 1 Score],0,0,))</f>
        <v>0</v>
      </c>
      <c r="D157" s="28">
        <f>IF(TournamentData[[#This Row],[Team Number]]="","",_xlfn.XLOOKUP(TournamentData[[#This Row],[Team Number]],RobotGameScores[Team Number],RobotGameScores[Match 2 Score],0,0,))</f>
        <v>0</v>
      </c>
      <c r="E157" s="28">
        <f>IF(TournamentData[[#This Row],[Team Number]]="","",_xlfn.XLOOKUP(TournamentData[[#This Row],[Team Number]],RobotGameScores[Team Number],RobotGameScores[Match 3 Score],0,0,))</f>
        <v>0</v>
      </c>
      <c r="F157" s="28">
        <f>IF(TournamentData[[#This Row],[Team Number]]="","",_xlfn.XLOOKUP(TournamentData[[#This Row],[Team Number]],RobotGameScores[Team Number],RobotGameScores[Match 4 Score],0,0,))</f>
        <v>0</v>
      </c>
      <c r="G157" s="28">
        <f>IF(TournamentData[[#This Row],[Team Number]]="","",_xlfn.XLOOKUP(TournamentData[[#This Row],[Team Number]],RobotGameScores[Team Number],RobotGameScores[Match 5 Score],0,0,))</f>
        <v>0</v>
      </c>
      <c r="H157" s="28" t="str">
        <f>IF(TournamentData[[#This Row],[Team Name]]="","",_xlfn.XLOOKUP(TournamentData[[#This Row],[Team Name]],RobotGameScores[Team Name],RobotGameScores[Match 6 Score],0,0,))</f>
        <v/>
      </c>
      <c r="I157" s="28">
        <v>0</v>
      </c>
      <c r="J157" s="28">
        <f>SUM(TournamentData[[#This Row],[Match Score 1]:[Match Score 6]])/NumberOfRounds</f>
        <v>0</v>
      </c>
      <c r="K157" s="59">
        <f>IF(TournamentData[[#This Row],[Team Number]]="","",1+COUNTIFS($J$3:$J$201,"&gt;"&amp;J157)+COUNTIFS($J$3:$J$201,J157,$I$3:$I$201,"&gt;"&amp;I157))</f>
        <v>9</v>
      </c>
      <c r="L157" s="28">
        <f>IF(TournamentData[[#This Row],[Team Number]]="","",_xlfn.XLOOKUP(TournamentData[[#This Row],[Team Number]],CoreValuesResults[Team Number],CoreValuesResults[Core Values Rank],NumberOfTeams+1,0,))</f>
        <v>9</v>
      </c>
      <c r="M157" s="28">
        <f>IF(TournamentData[[#This Row],[Team Number]]="","",_xlfn.XLOOKUP(TournamentData[[#This Row],[Team Number]],InnovationProjectResults[Team Number],InnovationProjectResults[Innovation Project Rank],NumberOfTeams+1,0,))</f>
        <v>9</v>
      </c>
      <c r="N157" s="28">
        <f>IF(TournamentData[[#This Row],[Team Number]]="","",_xlfn.XLOOKUP(TournamentData[[#This Row],[Team Number]],RobotDesignResults[Team Number],RobotDesignResults[Engineering Design Rank],NumberOfTeams+1,0,))</f>
        <v>9</v>
      </c>
      <c r="O15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57" s="29">
        <f>IF(TournamentData[[#This Row],[Team Number]]="","",IF(O157,RANK(O157,O$3:O$202,1)-COUNTIF(O$3:O$202,0),NumberOfTeams+1))</f>
        <v>9</v>
      </c>
      <c r="Q157" s="30">
        <f>_xlfn.XLOOKUP(TournamentData[[#This Row],[Team Number]],CoreValuesResults[Team Number],CoreValuesResults[Inspiration Selection],0,0,)</f>
        <v>0</v>
      </c>
      <c r="R157" s="33">
        <f>_xlfn.XLOOKUP(TournamentData[[#This Row],[Team Number]],CoreValuesResults[Team Number],CoreValuesResults[Rising All-Star Selection],0,0,)</f>
        <v>0</v>
      </c>
      <c r="S15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57" s="31"/>
      <c r="U157" s="31"/>
      <c r="V157" s="32"/>
      <c r="W157" s="91">
        <f>_xlfn.XLOOKUP(TournamentData[[#This Row],[Team Number]],CoreValuesResults[Team Number],CoreValuesResults[Core Values Score],0,0,)</f>
        <v>0</v>
      </c>
      <c r="X157" s="91">
        <f>_xlfn.XLOOKUP(TournamentData[[#This Row],[Team Number]],InnovationProjectResults[Team Number],InnovationProjectResults[Innovation Project Score],0,0,)</f>
        <v>0</v>
      </c>
      <c r="Y157" s="91">
        <f>_xlfn.XLOOKUP(TournamentData[[#This Row],[Team Number]],RobotDesignResults[Team Number],RobotDesignResults[Engineering Design Score],0,0,)</f>
        <v>0</v>
      </c>
      <c r="Z15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57" s="31">
        <f t="shared" si="4"/>
        <v>8</v>
      </c>
      <c r="AB157" s="31"/>
    </row>
    <row r="158" spans="1:28" ht="21" customHeight="1" x14ac:dyDescent="0.25">
      <c r="A158">
        <f>_xlfn.XLOOKUP(156,OfficialTeamList[Row],OfficialTeamList[Team Number],"ERROR",0)</f>
        <v>0</v>
      </c>
      <c r="B158" s="27" t="str">
        <f>_xlfn.XLOOKUP(TournamentData[[#This Row],[Team Number]],OfficialTeamList[Team Number],OfficialTeamList[Team Name],"",0,)</f>
        <v/>
      </c>
      <c r="C158" s="28">
        <f>IF(TournamentData[[#This Row],[Team Number]]="","",_xlfn.XLOOKUP(TournamentData[[#This Row],[Team Number]],RobotGameScores[Team Number],RobotGameScores[Match 1 Score],0,0,))</f>
        <v>0</v>
      </c>
      <c r="D158" s="28">
        <f>IF(TournamentData[[#This Row],[Team Number]]="","",_xlfn.XLOOKUP(TournamentData[[#This Row],[Team Number]],RobotGameScores[Team Number],RobotGameScores[Match 2 Score],0,0,))</f>
        <v>0</v>
      </c>
      <c r="E158" s="28">
        <f>IF(TournamentData[[#This Row],[Team Number]]="","",_xlfn.XLOOKUP(TournamentData[[#This Row],[Team Number]],RobotGameScores[Team Number],RobotGameScores[Match 3 Score],0,0,))</f>
        <v>0</v>
      </c>
      <c r="F158" s="28">
        <f>IF(TournamentData[[#This Row],[Team Number]]="","",_xlfn.XLOOKUP(TournamentData[[#This Row],[Team Number]],RobotGameScores[Team Number],RobotGameScores[Match 4 Score],0,0,))</f>
        <v>0</v>
      </c>
      <c r="G158" s="28">
        <f>IF(TournamentData[[#This Row],[Team Number]]="","",_xlfn.XLOOKUP(TournamentData[[#This Row],[Team Number]],RobotGameScores[Team Number],RobotGameScores[Match 5 Score],0,0,))</f>
        <v>0</v>
      </c>
      <c r="H158" s="28" t="str">
        <f>IF(TournamentData[[#This Row],[Team Name]]="","",_xlfn.XLOOKUP(TournamentData[[#This Row],[Team Name]],RobotGameScores[Team Name],RobotGameScores[Match 6 Score],0,0,))</f>
        <v/>
      </c>
      <c r="I158" s="28">
        <v>0</v>
      </c>
      <c r="J158" s="28">
        <f>SUM(TournamentData[[#This Row],[Match Score 1]:[Match Score 6]])/NumberOfRounds</f>
        <v>0</v>
      </c>
      <c r="K158" s="60">
        <f>IF(TournamentData[[#This Row],[Team Number]]="","",1+COUNTIFS($J$3:$J$201,"&gt;"&amp;J158)+COUNTIFS($J$3:$J$201,J158,$I$3:$I$201,"&gt;"&amp;I158))</f>
        <v>9</v>
      </c>
      <c r="L158" s="28">
        <f>IF(TournamentData[[#This Row],[Team Number]]="","",_xlfn.XLOOKUP(TournamentData[[#This Row],[Team Number]],CoreValuesResults[Team Number],CoreValuesResults[Core Values Rank],NumberOfTeams+1,0,))</f>
        <v>9</v>
      </c>
      <c r="M158" s="28">
        <f>IF(TournamentData[[#This Row],[Team Number]]="","",_xlfn.XLOOKUP(TournamentData[[#This Row],[Team Number]],InnovationProjectResults[Team Number],InnovationProjectResults[Innovation Project Rank],NumberOfTeams+1,0,))</f>
        <v>9</v>
      </c>
      <c r="N158" s="28">
        <f>IF(TournamentData[[#This Row],[Team Number]]="","",_xlfn.XLOOKUP(TournamentData[[#This Row],[Team Number]],RobotDesignResults[Team Number],RobotDesignResults[Engineering Design Rank],NumberOfTeams+1,0,))</f>
        <v>9</v>
      </c>
      <c r="O15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58" s="29">
        <f>IF(TournamentData[[#This Row],[Team Number]]="","",IF(O158,RANK(O158,O$3:O$202,1)-COUNTIF(O$3:O$202,0),NumberOfTeams+1))</f>
        <v>9</v>
      </c>
      <c r="Q158" s="30">
        <f>_xlfn.XLOOKUP(TournamentData[[#This Row],[Team Number]],CoreValuesResults[Team Number],CoreValuesResults[Inspiration Selection],0,0,)</f>
        <v>0</v>
      </c>
      <c r="R158" s="33">
        <f>_xlfn.XLOOKUP(TournamentData[[#This Row],[Team Number]],CoreValuesResults[Team Number],CoreValuesResults[Rising All-Star Selection],0,0,)</f>
        <v>0</v>
      </c>
      <c r="S15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58" s="31"/>
      <c r="U158" s="31"/>
      <c r="V158" s="32"/>
      <c r="W158" s="91">
        <f>_xlfn.XLOOKUP(TournamentData[[#This Row],[Team Number]],CoreValuesResults[Team Number],CoreValuesResults[Core Values Score],0,0,)</f>
        <v>0</v>
      </c>
      <c r="X158" s="91">
        <f>_xlfn.XLOOKUP(TournamentData[[#This Row],[Team Number]],InnovationProjectResults[Team Number],InnovationProjectResults[Innovation Project Score],0,0,)</f>
        <v>0</v>
      </c>
      <c r="Y158" s="91">
        <f>_xlfn.XLOOKUP(TournamentData[[#This Row],[Team Number]],RobotDesignResults[Team Number],RobotDesignResults[Engineering Design Score],0,0,)</f>
        <v>0</v>
      </c>
      <c r="Z15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58" s="31">
        <f t="shared" si="4"/>
        <v>8</v>
      </c>
      <c r="AB158" s="31"/>
    </row>
    <row r="159" spans="1:28" ht="21" customHeight="1" x14ac:dyDescent="0.25">
      <c r="A159">
        <f>_xlfn.XLOOKUP(157,OfficialTeamList[Row],OfficialTeamList[Team Number],"ERROR",0)</f>
        <v>0</v>
      </c>
      <c r="B159" s="27" t="str">
        <f>_xlfn.XLOOKUP(TournamentData[[#This Row],[Team Number]],OfficialTeamList[Team Number],OfficialTeamList[Team Name],"",0,)</f>
        <v/>
      </c>
      <c r="C159" s="28">
        <f>IF(TournamentData[[#This Row],[Team Number]]="","",_xlfn.XLOOKUP(TournamentData[[#This Row],[Team Number]],RobotGameScores[Team Number],RobotGameScores[Match 1 Score],0,0,))</f>
        <v>0</v>
      </c>
      <c r="D159" s="28">
        <f>IF(TournamentData[[#This Row],[Team Number]]="","",_xlfn.XLOOKUP(TournamentData[[#This Row],[Team Number]],RobotGameScores[Team Number],RobotGameScores[Match 2 Score],0,0,))</f>
        <v>0</v>
      </c>
      <c r="E159" s="28">
        <f>IF(TournamentData[[#This Row],[Team Number]]="","",_xlfn.XLOOKUP(TournamentData[[#This Row],[Team Number]],RobotGameScores[Team Number],RobotGameScores[Match 3 Score],0,0,))</f>
        <v>0</v>
      </c>
      <c r="F159" s="28">
        <f>IF(TournamentData[[#This Row],[Team Number]]="","",_xlfn.XLOOKUP(TournamentData[[#This Row],[Team Number]],RobotGameScores[Team Number],RobotGameScores[Match 4 Score],0,0,))</f>
        <v>0</v>
      </c>
      <c r="G159" s="28">
        <f>IF(TournamentData[[#This Row],[Team Number]]="","",_xlfn.XLOOKUP(TournamentData[[#This Row],[Team Number]],RobotGameScores[Team Number],RobotGameScores[Match 5 Score],0,0,))</f>
        <v>0</v>
      </c>
      <c r="H159" s="28" t="str">
        <f>IF(TournamentData[[#This Row],[Team Name]]="","",_xlfn.XLOOKUP(TournamentData[[#This Row],[Team Name]],RobotGameScores[Team Name],RobotGameScores[Match 6 Score],0,0,))</f>
        <v/>
      </c>
      <c r="I159" s="28">
        <v>0</v>
      </c>
      <c r="J159" s="28">
        <f>SUM(TournamentData[[#This Row],[Match Score 1]:[Match Score 6]])/NumberOfRounds</f>
        <v>0</v>
      </c>
      <c r="K159" s="59">
        <f>IF(TournamentData[[#This Row],[Team Number]]="","",1+COUNTIFS($J$3:$J$201,"&gt;"&amp;J159)+COUNTIFS($J$3:$J$201,J159,$I$3:$I$201,"&gt;"&amp;I159))</f>
        <v>9</v>
      </c>
      <c r="L159" s="28">
        <f>IF(TournamentData[[#This Row],[Team Number]]="","",_xlfn.XLOOKUP(TournamentData[[#This Row],[Team Number]],CoreValuesResults[Team Number],CoreValuesResults[Core Values Rank],NumberOfTeams+1,0,))</f>
        <v>9</v>
      </c>
      <c r="M159" s="28">
        <f>IF(TournamentData[[#This Row],[Team Number]]="","",_xlfn.XLOOKUP(TournamentData[[#This Row],[Team Number]],InnovationProjectResults[Team Number],InnovationProjectResults[Innovation Project Rank],NumberOfTeams+1,0,))</f>
        <v>9</v>
      </c>
      <c r="N159" s="28">
        <f>IF(TournamentData[[#This Row],[Team Number]]="","",_xlfn.XLOOKUP(TournamentData[[#This Row],[Team Number]],RobotDesignResults[Team Number],RobotDesignResults[Engineering Design Rank],NumberOfTeams+1,0,))</f>
        <v>9</v>
      </c>
      <c r="O15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59" s="29">
        <f>IF(TournamentData[[#This Row],[Team Number]]="","",IF(O159,RANK(O159,O$3:O$202,1)-COUNTIF(O$3:O$202,0),NumberOfTeams+1))</f>
        <v>9</v>
      </c>
      <c r="Q159" s="30">
        <f>_xlfn.XLOOKUP(TournamentData[[#This Row],[Team Number]],CoreValuesResults[Team Number],CoreValuesResults[Inspiration Selection],0,0,)</f>
        <v>0</v>
      </c>
      <c r="R159" s="33">
        <f>_xlfn.XLOOKUP(TournamentData[[#This Row],[Team Number]],CoreValuesResults[Team Number],CoreValuesResults[Rising All-Star Selection],0,0,)</f>
        <v>0</v>
      </c>
      <c r="S15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59" s="31"/>
      <c r="U159" s="31"/>
      <c r="V159" s="32"/>
      <c r="W159" s="91">
        <f>_xlfn.XLOOKUP(TournamentData[[#This Row],[Team Number]],CoreValuesResults[Team Number],CoreValuesResults[Core Values Score],0,0,)</f>
        <v>0</v>
      </c>
      <c r="X159" s="91">
        <f>_xlfn.XLOOKUP(TournamentData[[#This Row],[Team Number]],InnovationProjectResults[Team Number],InnovationProjectResults[Innovation Project Score],0,0,)</f>
        <v>0</v>
      </c>
      <c r="Y159" s="91">
        <f>_xlfn.XLOOKUP(TournamentData[[#This Row],[Team Number]],RobotDesignResults[Team Number],RobotDesignResults[Engineering Design Score],0,0,)</f>
        <v>0</v>
      </c>
      <c r="Z15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59" s="31">
        <f t="shared" si="4"/>
        <v>8</v>
      </c>
      <c r="AB159" s="31"/>
    </row>
    <row r="160" spans="1:28" ht="21" customHeight="1" x14ac:dyDescent="0.25">
      <c r="A160">
        <f>_xlfn.XLOOKUP(158,OfficialTeamList[Row],OfficialTeamList[Team Number],"ERROR",0)</f>
        <v>0</v>
      </c>
      <c r="B160" s="27" t="str">
        <f>_xlfn.XLOOKUP(TournamentData[[#This Row],[Team Number]],OfficialTeamList[Team Number],OfficialTeamList[Team Name],"",0,)</f>
        <v/>
      </c>
      <c r="C160" s="28">
        <f>IF(TournamentData[[#This Row],[Team Number]]="","",_xlfn.XLOOKUP(TournamentData[[#This Row],[Team Number]],RobotGameScores[Team Number],RobotGameScores[Match 1 Score],0,0,))</f>
        <v>0</v>
      </c>
      <c r="D160" s="28">
        <f>IF(TournamentData[[#This Row],[Team Number]]="","",_xlfn.XLOOKUP(TournamentData[[#This Row],[Team Number]],RobotGameScores[Team Number],RobotGameScores[Match 2 Score],0,0,))</f>
        <v>0</v>
      </c>
      <c r="E160" s="28">
        <f>IF(TournamentData[[#This Row],[Team Number]]="","",_xlfn.XLOOKUP(TournamentData[[#This Row],[Team Number]],RobotGameScores[Team Number],RobotGameScores[Match 3 Score],0,0,))</f>
        <v>0</v>
      </c>
      <c r="F160" s="28">
        <f>IF(TournamentData[[#This Row],[Team Number]]="","",_xlfn.XLOOKUP(TournamentData[[#This Row],[Team Number]],RobotGameScores[Team Number],RobotGameScores[Match 4 Score],0,0,))</f>
        <v>0</v>
      </c>
      <c r="G160" s="28">
        <f>IF(TournamentData[[#This Row],[Team Number]]="","",_xlfn.XLOOKUP(TournamentData[[#This Row],[Team Number]],RobotGameScores[Team Number],RobotGameScores[Match 5 Score],0,0,))</f>
        <v>0</v>
      </c>
      <c r="H160" s="28" t="str">
        <f>IF(TournamentData[[#This Row],[Team Name]]="","",_xlfn.XLOOKUP(TournamentData[[#This Row],[Team Name]],RobotGameScores[Team Name],RobotGameScores[Match 6 Score],0,0,))</f>
        <v/>
      </c>
      <c r="I160" s="28">
        <v>0</v>
      </c>
      <c r="J160" s="28">
        <f>SUM(TournamentData[[#This Row],[Match Score 1]:[Match Score 6]])/NumberOfRounds</f>
        <v>0</v>
      </c>
      <c r="K160" s="60">
        <f>IF(TournamentData[[#This Row],[Team Number]]="","",1+COUNTIFS($J$3:$J$201,"&gt;"&amp;J160)+COUNTIFS($J$3:$J$201,J160,$I$3:$I$201,"&gt;"&amp;I160))</f>
        <v>9</v>
      </c>
      <c r="L160" s="28">
        <f>IF(TournamentData[[#This Row],[Team Number]]="","",_xlfn.XLOOKUP(TournamentData[[#This Row],[Team Number]],CoreValuesResults[Team Number],CoreValuesResults[Core Values Rank],NumberOfTeams+1,0,))</f>
        <v>9</v>
      </c>
      <c r="M160" s="28">
        <f>IF(TournamentData[[#This Row],[Team Number]]="","",_xlfn.XLOOKUP(TournamentData[[#This Row],[Team Number]],InnovationProjectResults[Team Number],InnovationProjectResults[Innovation Project Rank],NumberOfTeams+1,0,))</f>
        <v>9</v>
      </c>
      <c r="N160" s="28">
        <f>IF(TournamentData[[#This Row],[Team Number]]="","",_xlfn.XLOOKUP(TournamentData[[#This Row],[Team Number]],RobotDesignResults[Team Number],RobotDesignResults[Engineering Design Rank],NumberOfTeams+1,0,))</f>
        <v>9</v>
      </c>
      <c r="O16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60" s="29">
        <f>IF(TournamentData[[#This Row],[Team Number]]="","",IF(O160,RANK(O160,O$3:O$202,1)-COUNTIF(O$3:O$202,0),NumberOfTeams+1))</f>
        <v>9</v>
      </c>
      <c r="Q160" s="30">
        <f>_xlfn.XLOOKUP(TournamentData[[#This Row],[Team Number]],CoreValuesResults[Team Number],CoreValuesResults[Inspiration Selection],0,0,)</f>
        <v>0</v>
      </c>
      <c r="R160" s="33">
        <f>_xlfn.XLOOKUP(TournamentData[[#This Row],[Team Number]],CoreValuesResults[Team Number],CoreValuesResults[Rising All-Star Selection],0,0,)</f>
        <v>0</v>
      </c>
      <c r="S16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60" s="31"/>
      <c r="U160" s="31"/>
      <c r="V160" s="32"/>
      <c r="W160" s="91">
        <f>_xlfn.XLOOKUP(TournamentData[[#This Row],[Team Number]],CoreValuesResults[Team Number],CoreValuesResults[Core Values Score],0,0,)</f>
        <v>0</v>
      </c>
      <c r="X160" s="91">
        <f>_xlfn.XLOOKUP(TournamentData[[#This Row],[Team Number]],InnovationProjectResults[Team Number],InnovationProjectResults[Innovation Project Score],0,0,)</f>
        <v>0</v>
      </c>
      <c r="Y160" s="91">
        <f>_xlfn.XLOOKUP(TournamentData[[#This Row],[Team Number]],RobotDesignResults[Team Number],RobotDesignResults[Engineering Design Score],0,0,)</f>
        <v>0</v>
      </c>
      <c r="Z16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60" s="31">
        <f t="shared" si="4"/>
        <v>8</v>
      </c>
      <c r="AB160" s="31"/>
    </row>
    <row r="161" spans="1:28" ht="21" customHeight="1" x14ac:dyDescent="0.25">
      <c r="A161">
        <f>_xlfn.XLOOKUP(159,OfficialTeamList[Row],OfficialTeamList[Team Number],"ERROR",0)</f>
        <v>0</v>
      </c>
      <c r="B161" s="27" t="str">
        <f>_xlfn.XLOOKUP(TournamentData[[#This Row],[Team Number]],OfficialTeamList[Team Number],OfficialTeamList[Team Name],"",0,)</f>
        <v/>
      </c>
      <c r="C161" s="28">
        <f>IF(TournamentData[[#This Row],[Team Number]]="","",_xlfn.XLOOKUP(TournamentData[[#This Row],[Team Number]],RobotGameScores[Team Number],RobotGameScores[Match 1 Score],0,0,))</f>
        <v>0</v>
      </c>
      <c r="D161" s="28">
        <f>IF(TournamentData[[#This Row],[Team Number]]="","",_xlfn.XLOOKUP(TournamentData[[#This Row],[Team Number]],RobotGameScores[Team Number],RobotGameScores[Match 2 Score],0,0,))</f>
        <v>0</v>
      </c>
      <c r="E161" s="28">
        <f>IF(TournamentData[[#This Row],[Team Number]]="","",_xlfn.XLOOKUP(TournamentData[[#This Row],[Team Number]],RobotGameScores[Team Number],RobotGameScores[Match 3 Score],0,0,))</f>
        <v>0</v>
      </c>
      <c r="F161" s="28">
        <f>IF(TournamentData[[#This Row],[Team Number]]="","",_xlfn.XLOOKUP(TournamentData[[#This Row],[Team Number]],RobotGameScores[Team Number],RobotGameScores[Match 4 Score],0,0,))</f>
        <v>0</v>
      </c>
      <c r="G161" s="28">
        <f>IF(TournamentData[[#This Row],[Team Number]]="","",_xlfn.XLOOKUP(TournamentData[[#This Row],[Team Number]],RobotGameScores[Team Number],RobotGameScores[Match 5 Score],0,0,))</f>
        <v>0</v>
      </c>
      <c r="H161" s="28" t="str">
        <f>IF(TournamentData[[#This Row],[Team Name]]="","",_xlfn.XLOOKUP(TournamentData[[#This Row],[Team Name]],RobotGameScores[Team Name],RobotGameScores[Match 6 Score],0,0,))</f>
        <v/>
      </c>
      <c r="I161" s="28">
        <v>0</v>
      </c>
      <c r="J161" s="28">
        <f>SUM(TournamentData[[#This Row],[Match Score 1]:[Match Score 6]])/NumberOfRounds</f>
        <v>0</v>
      </c>
      <c r="K161" s="59">
        <f>IF(TournamentData[[#This Row],[Team Number]]="","",1+COUNTIFS($J$3:$J$201,"&gt;"&amp;J161)+COUNTIFS($J$3:$J$201,J161,$I$3:$I$201,"&gt;"&amp;I161))</f>
        <v>9</v>
      </c>
      <c r="L161" s="28">
        <f>IF(TournamentData[[#This Row],[Team Number]]="","",_xlfn.XLOOKUP(TournamentData[[#This Row],[Team Number]],CoreValuesResults[Team Number],CoreValuesResults[Core Values Rank],NumberOfTeams+1,0,))</f>
        <v>9</v>
      </c>
      <c r="M161" s="28">
        <f>IF(TournamentData[[#This Row],[Team Number]]="","",_xlfn.XLOOKUP(TournamentData[[#This Row],[Team Number]],InnovationProjectResults[Team Number],InnovationProjectResults[Innovation Project Rank],NumberOfTeams+1,0,))</f>
        <v>9</v>
      </c>
      <c r="N161" s="28">
        <f>IF(TournamentData[[#This Row],[Team Number]]="","",_xlfn.XLOOKUP(TournamentData[[#This Row],[Team Number]],RobotDesignResults[Team Number],RobotDesignResults[Engineering Design Rank],NumberOfTeams+1,0,))</f>
        <v>9</v>
      </c>
      <c r="O16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61" s="29">
        <f>IF(TournamentData[[#This Row],[Team Number]]="","",IF(O161,RANK(O161,O$3:O$202,1)-COUNTIF(O$3:O$202,0),NumberOfTeams+1))</f>
        <v>9</v>
      </c>
      <c r="Q161" s="30">
        <f>_xlfn.XLOOKUP(TournamentData[[#This Row],[Team Number]],CoreValuesResults[Team Number],CoreValuesResults[Inspiration Selection],0,0,)</f>
        <v>0</v>
      </c>
      <c r="R161" s="33">
        <f>_xlfn.XLOOKUP(TournamentData[[#This Row],[Team Number]],CoreValuesResults[Team Number],CoreValuesResults[Rising All-Star Selection],0,0,)</f>
        <v>0</v>
      </c>
      <c r="S16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61" s="31"/>
      <c r="U161" s="31"/>
      <c r="V161" s="32"/>
      <c r="W161" s="91">
        <f>_xlfn.XLOOKUP(TournamentData[[#This Row],[Team Number]],CoreValuesResults[Team Number],CoreValuesResults[Core Values Score],0,0,)</f>
        <v>0</v>
      </c>
      <c r="X161" s="91">
        <f>_xlfn.XLOOKUP(TournamentData[[#This Row],[Team Number]],InnovationProjectResults[Team Number],InnovationProjectResults[Innovation Project Score],0,0,)</f>
        <v>0</v>
      </c>
      <c r="Y161" s="91">
        <f>_xlfn.XLOOKUP(TournamentData[[#This Row],[Team Number]],RobotDesignResults[Team Number],RobotDesignResults[Engineering Design Score],0,0,)</f>
        <v>0</v>
      </c>
      <c r="Z16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61" s="31">
        <f t="shared" si="4"/>
        <v>8</v>
      </c>
      <c r="AB161" s="31"/>
    </row>
    <row r="162" spans="1:28" ht="21" customHeight="1" x14ac:dyDescent="0.25">
      <c r="A162">
        <f>_xlfn.XLOOKUP(160,OfficialTeamList[Row],OfficialTeamList[Team Number],"ERROR",0)</f>
        <v>0</v>
      </c>
      <c r="B162" s="27" t="str">
        <f>_xlfn.XLOOKUP(TournamentData[[#This Row],[Team Number]],OfficialTeamList[Team Number],OfficialTeamList[Team Name],"",0,)</f>
        <v/>
      </c>
      <c r="C162" s="28">
        <f>IF(TournamentData[[#This Row],[Team Number]]="","",_xlfn.XLOOKUP(TournamentData[[#This Row],[Team Number]],RobotGameScores[Team Number],RobotGameScores[Match 1 Score],0,0,))</f>
        <v>0</v>
      </c>
      <c r="D162" s="28">
        <f>IF(TournamentData[[#This Row],[Team Number]]="","",_xlfn.XLOOKUP(TournamentData[[#This Row],[Team Number]],RobotGameScores[Team Number],RobotGameScores[Match 2 Score],0,0,))</f>
        <v>0</v>
      </c>
      <c r="E162" s="28">
        <f>IF(TournamentData[[#This Row],[Team Number]]="","",_xlfn.XLOOKUP(TournamentData[[#This Row],[Team Number]],RobotGameScores[Team Number],RobotGameScores[Match 3 Score],0,0,))</f>
        <v>0</v>
      </c>
      <c r="F162" s="28">
        <f>IF(TournamentData[[#This Row],[Team Number]]="","",_xlfn.XLOOKUP(TournamentData[[#This Row],[Team Number]],RobotGameScores[Team Number],RobotGameScores[Match 4 Score],0,0,))</f>
        <v>0</v>
      </c>
      <c r="G162" s="28">
        <f>IF(TournamentData[[#This Row],[Team Number]]="","",_xlfn.XLOOKUP(TournamentData[[#This Row],[Team Number]],RobotGameScores[Team Number],RobotGameScores[Match 5 Score],0,0,))</f>
        <v>0</v>
      </c>
      <c r="H162" s="28" t="str">
        <f>IF(TournamentData[[#This Row],[Team Name]]="","",_xlfn.XLOOKUP(TournamentData[[#This Row],[Team Name]],RobotGameScores[Team Name],RobotGameScores[Match 6 Score],0,0,))</f>
        <v/>
      </c>
      <c r="I162" s="28">
        <v>0</v>
      </c>
      <c r="J162" s="28">
        <f>SUM(TournamentData[[#This Row],[Match Score 1]:[Match Score 6]])/NumberOfRounds</f>
        <v>0</v>
      </c>
      <c r="K162" s="60">
        <f>IF(TournamentData[[#This Row],[Team Number]]="","",1+COUNTIFS($J$3:$J$201,"&gt;"&amp;J162)+COUNTIFS($J$3:$J$201,J162,$I$3:$I$201,"&gt;"&amp;I162))</f>
        <v>9</v>
      </c>
      <c r="L162" s="28">
        <f>IF(TournamentData[[#This Row],[Team Number]]="","",_xlfn.XLOOKUP(TournamentData[[#This Row],[Team Number]],CoreValuesResults[Team Number],CoreValuesResults[Core Values Rank],NumberOfTeams+1,0,))</f>
        <v>9</v>
      </c>
      <c r="M162" s="28">
        <f>IF(TournamentData[[#This Row],[Team Number]]="","",_xlfn.XLOOKUP(TournamentData[[#This Row],[Team Number]],InnovationProjectResults[Team Number],InnovationProjectResults[Innovation Project Rank],NumberOfTeams+1,0,))</f>
        <v>9</v>
      </c>
      <c r="N162" s="28">
        <f>IF(TournamentData[[#This Row],[Team Number]]="","",_xlfn.XLOOKUP(TournamentData[[#This Row],[Team Number]],RobotDesignResults[Team Number],RobotDesignResults[Engineering Design Rank],NumberOfTeams+1,0,))</f>
        <v>9</v>
      </c>
      <c r="O16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62" s="29">
        <f>IF(TournamentData[[#This Row],[Team Number]]="","",IF(O162,RANK(O162,O$3:O$202,1)-COUNTIF(O$3:O$202,0),NumberOfTeams+1))</f>
        <v>9</v>
      </c>
      <c r="Q162" s="30">
        <f>_xlfn.XLOOKUP(TournamentData[[#This Row],[Team Number]],CoreValuesResults[Team Number],CoreValuesResults[Inspiration Selection],0,0,)</f>
        <v>0</v>
      </c>
      <c r="R162" s="33">
        <f>_xlfn.XLOOKUP(TournamentData[[#This Row],[Team Number]],CoreValuesResults[Team Number],CoreValuesResults[Rising All-Star Selection],0,0,)</f>
        <v>0</v>
      </c>
      <c r="S16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62" s="31"/>
      <c r="U162" s="31"/>
      <c r="V162" s="32"/>
      <c r="W162" s="91">
        <f>_xlfn.XLOOKUP(TournamentData[[#This Row],[Team Number]],CoreValuesResults[Team Number],CoreValuesResults[Core Values Score],0,0,)</f>
        <v>0</v>
      </c>
      <c r="X162" s="91">
        <f>_xlfn.XLOOKUP(TournamentData[[#This Row],[Team Number]],InnovationProjectResults[Team Number],InnovationProjectResults[Innovation Project Score],0,0,)</f>
        <v>0</v>
      </c>
      <c r="Y162" s="91">
        <f>_xlfn.XLOOKUP(TournamentData[[#This Row],[Team Number]],RobotDesignResults[Team Number],RobotDesignResults[Engineering Design Score],0,0,)</f>
        <v>0</v>
      </c>
      <c r="Z16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62" s="31">
        <f t="shared" si="4"/>
        <v>8</v>
      </c>
      <c r="AB162" s="31"/>
    </row>
    <row r="163" spans="1:28" ht="21" customHeight="1" x14ac:dyDescent="0.25">
      <c r="A163">
        <f>_xlfn.XLOOKUP(161,OfficialTeamList[Row],OfficialTeamList[Team Number],"ERROR",0)</f>
        <v>0</v>
      </c>
      <c r="B163" s="27" t="str">
        <f>_xlfn.XLOOKUP(TournamentData[[#This Row],[Team Number]],OfficialTeamList[Team Number],OfficialTeamList[Team Name],"",0,)</f>
        <v/>
      </c>
      <c r="C163" s="28">
        <f>IF(TournamentData[[#This Row],[Team Number]]="","",_xlfn.XLOOKUP(TournamentData[[#This Row],[Team Number]],RobotGameScores[Team Number],RobotGameScores[Match 1 Score],0,0,))</f>
        <v>0</v>
      </c>
      <c r="D163" s="28">
        <f>IF(TournamentData[[#This Row],[Team Number]]="","",_xlfn.XLOOKUP(TournamentData[[#This Row],[Team Number]],RobotGameScores[Team Number],RobotGameScores[Match 2 Score],0,0,))</f>
        <v>0</v>
      </c>
      <c r="E163" s="28">
        <f>IF(TournamentData[[#This Row],[Team Number]]="","",_xlfn.XLOOKUP(TournamentData[[#This Row],[Team Number]],RobotGameScores[Team Number],RobotGameScores[Match 3 Score],0,0,))</f>
        <v>0</v>
      </c>
      <c r="F163" s="28">
        <f>IF(TournamentData[[#This Row],[Team Number]]="","",_xlfn.XLOOKUP(TournamentData[[#This Row],[Team Number]],RobotGameScores[Team Number],RobotGameScores[Match 4 Score],0,0,))</f>
        <v>0</v>
      </c>
      <c r="G163" s="28">
        <f>IF(TournamentData[[#This Row],[Team Number]]="","",_xlfn.XLOOKUP(TournamentData[[#This Row],[Team Number]],RobotGameScores[Team Number],RobotGameScores[Match 5 Score],0,0,))</f>
        <v>0</v>
      </c>
      <c r="H163" s="28" t="str">
        <f>IF(TournamentData[[#This Row],[Team Name]]="","",_xlfn.XLOOKUP(TournamentData[[#This Row],[Team Name]],RobotGameScores[Team Name],RobotGameScores[Match 6 Score],0,0,))</f>
        <v/>
      </c>
      <c r="I163" s="28">
        <v>0</v>
      </c>
      <c r="J163" s="28">
        <f>SUM(TournamentData[[#This Row],[Match Score 1]:[Match Score 6]])/NumberOfRounds</f>
        <v>0</v>
      </c>
      <c r="K163" s="59">
        <f>IF(TournamentData[[#This Row],[Team Number]]="","",1+COUNTIFS($J$3:$J$201,"&gt;"&amp;J163)+COUNTIFS($J$3:$J$201,J163,$I$3:$I$201,"&gt;"&amp;I163))</f>
        <v>9</v>
      </c>
      <c r="L163" s="28">
        <f>IF(TournamentData[[#This Row],[Team Number]]="","",_xlfn.XLOOKUP(TournamentData[[#This Row],[Team Number]],CoreValuesResults[Team Number],CoreValuesResults[Core Values Rank],NumberOfTeams+1,0,))</f>
        <v>9</v>
      </c>
      <c r="M163" s="28">
        <f>IF(TournamentData[[#This Row],[Team Number]]="","",_xlfn.XLOOKUP(TournamentData[[#This Row],[Team Number]],InnovationProjectResults[Team Number],InnovationProjectResults[Innovation Project Rank],NumberOfTeams+1,0,))</f>
        <v>9</v>
      </c>
      <c r="N163" s="28">
        <f>IF(TournamentData[[#This Row],[Team Number]]="","",_xlfn.XLOOKUP(TournamentData[[#This Row],[Team Number]],RobotDesignResults[Team Number],RobotDesignResults[Engineering Design Rank],NumberOfTeams+1,0,))</f>
        <v>9</v>
      </c>
      <c r="O16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63" s="29">
        <f>IF(TournamentData[[#This Row],[Team Number]]="","",IF(O163,RANK(O163,O$3:O$202,1)-COUNTIF(O$3:O$202,0),NumberOfTeams+1))</f>
        <v>9</v>
      </c>
      <c r="Q163" s="30">
        <f>_xlfn.XLOOKUP(TournamentData[[#This Row],[Team Number]],CoreValuesResults[Team Number],CoreValuesResults[Inspiration Selection],0,0,)</f>
        <v>0</v>
      </c>
      <c r="R163" s="33">
        <f>_xlfn.XLOOKUP(TournamentData[[#This Row],[Team Number]],CoreValuesResults[Team Number],CoreValuesResults[Rising All-Star Selection],0,0,)</f>
        <v>0</v>
      </c>
      <c r="S16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63" s="31"/>
      <c r="U163" s="31"/>
      <c r="V163" s="32"/>
      <c r="W163" s="91">
        <f>_xlfn.XLOOKUP(TournamentData[[#This Row],[Team Number]],CoreValuesResults[Team Number],CoreValuesResults[Core Values Score],0,0,)</f>
        <v>0</v>
      </c>
      <c r="X163" s="91">
        <f>_xlfn.XLOOKUP(TournamentData[[#This Row],[Team Number]],InnovationProjectResults[Team Number],InnovationProjectResults[Innovation Project Score],0,0,)</f>
        <v>0</v>
      </c>
      <c r="Y163" s="91">
        <f>_xlfn.XLOOKUP(TournamentData[[#This Row],[Team Number]],RobotDesignResults[Team Number],RobotDesignResults[Engineering Design Score],0,0,)</f>
        <v>0</v>
      </c>
      <c r="Z16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63" s="31">
        <f t="shared" ref="AA163:AA194" si="5">IF(Z163,_xlfn.RANK.EQ(Z163,Z$3:Z$110,0),NumberOfTeams)</f>
        <v>8</v>
      </c>
      <c r="AB163" s="31"/>
    </row>
    <row r="164" spans="1:28" ht="21" customHeight="1" x14ac:dyDescent="0.25">
      <c r="A164">
        <f>_xlfn.XLOOKUP(162,OfficialTeamList[Row],OfficialTeamList[Team Number],"ERROR",0)</f>
        <v>0</v>
      </c>
      <c r="B164" s="27" t="str">
        <f>_xlfn.XLOOKUP(TournamentData[[#This Row],[Team Number]],OfficialTeamList[Team Number],OfficialTeamList[Team Name],"",0,)</f>
        <v/>
      </c>
      <c r="C164" s="28">
        <f>IF(TournamentData[[#This Row],[Team Number]]="","",_xlfn.XLOOKUP(TournamentData[[#This Row],[Team Number]],RobotGameScores[Team Number],RobotGameScores[Match 1 Score],0,0,))</f>
        <v>0</v>
      </c>
      <c r="D164" s="28">
        <f>IF(TournamentData[[#This Row],[Team Number]]="","",_xlfn.XLOOKUP(TournamentData[[#This Row],[Team Number]],RobotGameScores[Team Number],RobotGameScores[Match 2 Score],0,0,))</f>
        <v>0</v>
      </c>
      <c r="E164" s="28">
        <f>IF(TournamentData[[#This Row],[Team Number]]="","",_xlfn.XLOOKUP(TournamentData[[#This Row],[Team Number]],RobotGameScores[Team Number],RobotGameScores[Match 3 Score],0,0,))</f>
        <v>0</v>
      </c>
      <c r="F164" s="28">
        <f>IF(TournamentData[[#This Row],[Team Number]]="","",_xlfn.XLOOKUP(TournamentData[[#This Row],[Team Number]],RobotGameScores[Team Number],RobotGameScores[Match 4 Score],0,0,))</f>
        <v>0</v>
      </c>
      <c r="G164" s="28">
        <f>IF(TournamentData[[#This Row],[Team Number]]="","",_xlfn.XLOOKUP(TournamentData[[#This Row],[Team Number]],RobotGameScores[Team Number],RobotGameScores[Match 5 Score],0,0,))</f>
        <v>0</v>
      </c>
      <c r="H164" s="28" t="str">
        <f>IF(TournamentData[[#This Row],[Team Name]]="","",_xlfn.XLOOKUP(TournamentData[[#This Row],[Team Name]],RobotGameScores[Team Name],RobotGameScores[Match 6 Score],0,0,))</f>
        <v/>
      </c>
      <c r="I164" s="28">
        <v>0</v>
      </c>
      <c r="J164" s="28">
        <f>SUM(TournamentData[[#This Row],[Match Score 1]:[Match Score 6]])/NumberOfRounds</f>
        <v>0</v>
      </c>
      <c r="K164" s="60">
        <f>IF(TournamentData[[#This Row],[Team Number]]="","",1+COUNTIFS($J$3:$J$201,"&gt;"&amp;J164)+COUNTIFS($J$3:$J$201,J164,$I$3:$I$201,"&gt;"&amp;I164))</f>
        <v>9</v>
      </c>
      <c r="L164" s="28">
        <f>IF(TournamentData[[#This Row],[Team Number]]="","",_xlfn.XLOOKUP(TournamentData[[#This Row],[Team Number]],CoreValuesResults[Team Number],CoreValuesResults[Core Values Rank],NumberOfTeams+1,0,))</f>
        <v>9</v>
      </c>
      <c r="M164" s="28">
        <f>IF(TournamentData[[#This Row],[Team Number]]="","",_xlfn.XLOOKUP(TournamentData[[#This Row],[Team Number]],InnovationProjectResults[Team Number],InnovationProjectResults[Innovation Project Rank],NumberOfTeams+1,0,))</f>
        <v>9</v>
      </c>
      <c r="N164" s="28">
        <f>IF(TournamentData[[#This Row],[Team Number]]="","",_xlfn.XLOOKUP(TournamentData[[#This Row],[Team Number]],RobotDesignResults[Team Number],RobotDesignResults[Engineering Design Rank],NumberOfTeams+1,0,))</f>
        <v>9</v>
      </c>
      <c r="O16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64" s="29">
        <f>IF(TournamentData[[#This Row],[Team Number]]="","",IF(O164,RANK(O164,O$3:O$202,1)-COUNTIF(O$3:O$202,0),NumberOfTeams+1))</f>
        <v>9</v>
      </c>
      <c r="Q164" s="30">
        <f>_xlfn.XLOOKUP(TournamentData[[#This Row],[Team Number]],CoreValuesResults[Team Number],CoreValuesResults[Inspiration Selection],0,0,)</f>
        <v>0</v>
      </c>
      <c r="R164" s="33">
        <f>_xlfn.XLOOKUP(TournamentData[[#This Row],[Team Number]],CoreValuesResults[Team Number],CoreValuesResults[Rising All-Star Selection],0,0,)</f>
        <v>0</v>
      </c>
      <c r="S16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64" s="31"/>
      <c r="U164" s="31"/>
      <c r="V164" s="32"/>
      <c r="W164" s="91">
        <f>_xlfn.XLOOKUP(TournamentData[[#This Row],[Team Number]],CoreValuesResults[Team Number],CoreValuesResults[Core Values Score],0,0,)</f>
        <v>0</v>
      </c>
      <c r="X164" s="91">
        <f>_xlfn.XLOOKUP(TournamentData[[#This Row],[Team Number]],InnovationProjectResults[Team Number],InnovationProjectResults[Innovation Project Score],0,0,)</f>
        <v>0</v>
      </c>
      <c r="Y164" s="91">
        <f>_xlfn.XLOOKUP(TournamentData[[#This Row],[Team Number]],RobotDesignResults[Team Number],RobotDesignResults[Engineering Design Score],0,0,)</f>
        <v>0</v>
      </c>
      <c r="Z16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64" s="31">
        <f t="shared" si="5"/>
        <v>8</v>
      </c>
      <c r="AB164" s="31"/>
    </row>
    <row r="165" spans="1:28" ht="21" customHeight="1" x14ac:dyDescent="0.25">
      <c r="A165">
        <f>_xlfn.XLOOKUP(163,OfficialTeamList[Row],OfficialTeamList[Team Number],"ERROR",0)</f>
        <v>0</v>
      </c>
      <c r="B165" s="27" t="str">
        <f>_xlfn.XLOOKUP(TournamentData[[#This Row],[Team Number]],OfficialTeamList[Team Number],OfficialTeamList[Team Name],"",0,)</f>
        <v/>
      </c>
      <c r="C165" s="28">
        <f>IF(TournamentData[[#This Row],[Team Number]]="","",_xlfn.XLOOKUP(TournamentData[[#This Row],[Team Number]],RobotGameScores[Team Number],RobotGameScores[Match 1 Score],0,0,))</f>
        <v>0</v>
      </c>
      <c r="D165" s="28">
        <f>IF(TournamentData[[#This Row],[Team Number]]="","",_xlfn.XLOOKUP(TournamentData[[#This Row],[Team Number]],RobotGameScores[Team Number],RobotGameScores[Match 2 Score],0,0,))</f>
        <v>0</v>
      </c>
      <c r="E165" s="28">
        <f>IF(TournamentData[[#This Row],[Team Number]]="","",_xlfn.XLOOKUP(TournamentData[[#This Row],[Team Number]],RobotGameScores[Team Number],RobotGameScores[Match 3 Score],0,0,))</f>
        <v>0</v>
      </c>
      <c r="F165" s="28">
        <f>IF(TournamentData[[#This Row],[Team Number]]="","",_xlfn.XLOOKUP(TournamentData[[#This Row],[Team Number]],RobotGameScores[Team Number],RobotGameScores[Match 4 Score],0,0,))</f>
        <v>0</v>
      </c>
      <c r="G165" s="28">
        <f>IF(TournamentData[[#This Row],[Team Number]]="","",_xlfn.XLOOKUP(TournamentData[[#This Row],[Team Number]],RobotGameScores[Team Number],RobotGameScores[Match 5 Score],0,0,))</f>
        <v>0</v>
      </c>
      <c r="H165" s="28" t="str">
        <f>IF(TournamentData[[#This Row],[Team Name]]="","",_xlfn.XLOOKUP(TournamentData[[#This Row],[Team Name]],RobotGameScores[Team Name],RobotGameScores[Match 6 Score],0,0,))</f>
        <v/>
      </c>
      <c r="I165" s="28">
        <v>0</v>
      </c>
      <c r="J165" s="28">
        <f>SUM(TournamentData[[#This Row],[Match Score 1]:[Match Score 6]])/NumberOfRounds</f>
        <v>0</v>
      </c>
      <c r="K165" s="59">
        <f>IF(TournamentData[[#This Row],[Team Number]]="","",1+COUNTIFS($J$3:$J$201,"&gt;"&amp;J165)+COUNTIFS($J$3:$J$201,J165,$I$3:$I$201,"&gt;"&amp;I165))</f>
        <v>9</v>
      </c>
      <c r="L165" s="28">
        <f>IF(TournamentData[[#This Row],[Team Number]]="","",_xlfn.XLOOKUP(TournamentData[[#This Row],[Team Number]],CoreValuesResults[Team Number],CoreValuesResults[Core Values Rank],NumberOfTeams+1,0,))</f>
        <v>9</v>
      </c>
      <c r="M165" s="28">
        <f>IF(TournamentData[[#This Row],[Team Number]]="","",_xlfn.XLOOKUP(TournamentData[[#This Row],[Team Number]],InnovationProjectResults[Team Number],InnovationProjectResults[Innovation Project Rank],NumberOfTeams+1,0,))</f>
        <v>9</v>
      </c>
      <c r="N165" s="28">
        <f>IF(TournamentData[[#This Row],[Team Number]]="","",_xlfn.XLOOKUP(TournamentData[[#This Row],[Team Number]],RobotDesignResults[Team Number],RobotDesignResults[Engineering Design Rank],NumberOfTeams+1,0,))</f>
        <v>9</v>
      </c>
      <c r="O16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65" s="29">
        <f>IF(TournamentData[[#This Row],[Team Number]]="","",IF(O165,RANK(O165,O$3:O$202,1)-COUNTIF(O$3:O$202,0),NumberOfTeams+1))</f>
        <v>9</v>
      </c>
      <c r="Q165" s="30">
        <f>_xlfn.XLOOKUP(TournamentData[[#This Row],[Team Number]],CoreValuesResults[Team Number],CoreValuesResults[Inspiration Selection],0,0,)</f>
        <v>0</v>
      </c>
      <c r="R165" s="33">
        <f>_xlfn.XLOOKUP(TournamentData[[#This Row],[Team Number]],CoreValuesResults[Team Number],CoreValuesResults[Rising All-Star Selection],0,0,)</f>
        <v>0</v>
      </c>
      <c r="S16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65" s="31"/>
      <c r="U165" s="31"/>
      <c r="V165" s="32"/>
      <c r="W165" s="91">
        <f>_xlfn.XLOOKUP(TournamentData[[#This Row],[Team Number]],CoreValuesResults[Team Number],CoreValuesResults[Core Values Score],0,0,)</f>
        <v>0</v>
      </c>
      <c r="X165" s="91">
        <f>_xlfn.XLOOKUP(TournamentData[[#This Row],[Team Number]],InnovationProjectResults[Team Number],InnovationProjectResults[Innovation Project Score],0,0,)</f>
        <v>0</v>
      </c>
      <c r="Y165" s="91">
        <f>_xlfn.XLOOKUP(TournamentData[[#This Row],[Team Number]],RobotDesignResults[Team Number],RobotDesignResults[Engineering Design Score],0,0,)</f>
        <v>0</v>
      </c>
      <c r="Z16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65" s="31">
        <f t="shared" si="5"/>
        <v>8</v>
      </c>
      <c r="AB165" s="31"/>
    </row>
    <row r="166" spans="1:28" ht="21" customHeight="1" x14ac:dyDescent="0.25">
      <c r="A166">
        <f>_xlfn.XLOOKUP(164,OfficialTeamList[Row],OfficialTeamList[Team Number],"ERROR",0)</f>
        <v>0</v>
      </c>
      <c r="B166" s="27" t="str">
        <f>_xlfn.XLOOKUP(TournamentData[[#This Row],[Team Number]],OfficialTeamList[Team Number],OfficialTeamList[Team Name],"",0,)</f>
        <v/>
      </c>
      <c r="C166" s="28">
        <f>IF(TournamentData[[#This Row],[Team Number]]="","",_xlfn.XLOOKUP(TournamentData[[#This Row],[Team Number]],RobotGameScores[Team Number],RobotGameScores[Match 1 Score],0,0,))</f>
        <v>0</v>
      </c>
      <c r="D166" s="28">
        <f>IF(TournamentData[[#This Row],[Team Number]]="","",_xlfn.XLOOKUP(TournamentData[[#This Row],[Team Number]],RobotGameScores[Team Number],RobotGameScores[Match 2 Score],0,0,))</f>
        <v>0</v>
      </c>
      <c r="E166" s="28">
        <f>IF(TournamentData[[#This Row],[Team Number]]="","",_xlfn.XLOOKUP(TournamentData[[#This Row],[Team Number]],RobotGameScores[Team Number],RobotGameScores[Match 3 Score],0,0,))</f>
        <v>0</v>
      </c>
      <c r="F166" s="28">
        <f>IF(TournamentData[[#This Row],[Team Number]]="","",_xlfn.XLOOKUP(TournamentData[[#This Row],[Team Number]],RobotGameScores[Team Number],RobotGameScores[Match 4 Score],0,0,))</f>
        <v>0</v>
      </c>
      <c r="G166" s="28">
        <f>IF(TournamentData[[#This Row],[Team Number]]="","",_xlfn.XLOOKUP(TournamentData[[#This Row],[Team Number]],RobotGameScores[Team Number],RobotGameScores[Match 5 Score],0,0,))</f>
        <v>0</v>
      </c>
      <c r="H166" s="28" t="str">
        <f>IF(TournamentData[[#This Row],[Team Name]]="","",_xlfn.XLOOKUP(TournamentData[[#This Row],[Team Name]],RobotGameScores[Team Name],RobotGameScores[Match 6 Score],0,0,))</f>
        <v/>
      </c>
      <c r="I166" s="28">
        <v>0</v>
      </c>
      <c r="J166" s="28">
        <f>SUM(TournamentData[[#This Row],[Match Score 1]:[Match Score 6]])/NumberOfRounds</f>
        <v>0</v>
      </c>
      <c r="K166" s="60">
        <f>IF(TournamentData[[#This Row],[Team Number]]="","",1+COUNTIFS($J$3:$J$201,"&gt;"&amp;J166)+COUNTIFS($J$3:$J$201,J166,$I$3:$I$201,"&gt;"&amp;I166))</f>
        <v>9</v>
      </c>
      <c r="L166" s="28">
        <f>IF(TournamentData[[#This Row],[Team Number]]="","",_xlfn.XLOOKUP(TournamentData[[#This Row],[Team Number]],CoreValuesResults[Team Number],CoreValuesResults[Core Values Rank],NumberOfTeams+1,0,))</f>
        <v>9</v>
      </c>
      <c r="M166" s="28">
        <f>IF(TournamentData[[#This Row],[Team Number]]="","",_xlfn.XLOOKUP(TournamentData[[#This Row],[Team Number]],InnovationProjectResults[Team Number],InnovationProjectResults[Innovation Project Rank],NumberOfTeams+1,0,))</f>
        <v>9</v>
      </c>
      <c r="N166" s="28">
        <f>IF(TournamentData[[#This Row],[Team Number]]="","",_xlfn.XLOOKUP(TournamentData[[#This Row],[Team Number]],RobotDesignResults[Team Number],RobotDesignResults[Engineering Design Rank],NumberOfTeams+1,0,))</f>
        <v>9</v>
      </c>
      <c r="O16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66" s="29">
        <f>IF(TournamentData[[#This Row],[Team Number]]="","",IF(O166,RANK(O166,O$3:O$202,1)-COUNTIF(O$3:O$202,0),NumberOfTeams+1))</f>
        <v>9</v>
      </c>
      <c r="Q166" s="30">
        <f>_xlfn.XLOOKUP(TournamentData[[#This Row],[Team Number]],CoreValuesResults[Team Number],CoreValuesResults[Inspiration Selection],0,0,)</f>
        <v>0</v>
      </c>
      <c r="R166" s="33">
        <f>_xlfn.XLOOKUP(TournamentData[[#This Row],[Team Number]],CoreValuesResults[Team Number],CoreValuesResults[Rising All-Star Selection],0,0,)</f>
        <v>0</v>
      </c>
      <c r="S16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66" s="31"/>
      <c r="U166" s="31"/>
      <c r="V166" s="32"/>
      <c r="W166" s="91">
        <f>_xlfn.XLOOKUP(TournamentData[[#This Row],[Team Number]],CoreValuesResults[Team Number],CoreValuesResults[Core Values Score],0,0,)</f>
        <v>0</v>
      </c>
      <c r="X166" s="91">
        <f>_xlfn.XLOOKUP(TournamentData[[#This Row],[Team Number]],InnovationProjectResults[Team Number],InnovationProjectResults[Innovation Project Score],0,0,)</f>
        <v>0</v>
      </c>
      <c r="Y166" s="91">
        <f>_xlfn.XLOOKUP(TournamentData[[#This Row],[Team Number]],RobotDesignResults[Team Number],RobotDesignResults[Engineering Design Score],0,0,)</f>
        <v>0</v>
      </c>
      <c r="Z16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66" s="31">
        <f t="shared" si="5"/>
        <v>8</v>
      </c>
      <c r="AB166" s="31"/>
    </row>
    <row r="167" spans="1:28" ht="21" customHeight="1" x14ac:dyDescent="0.25">
      <c r="A167">
        <f>_xlfn.XLOOKUP(165,OfficialTeamList[Row],OfficialTeamList[Team Number],"ERROR",0)</f>
        <v>0</v>
      </c>
      <c r="B167" s="27" t="str">
        <f>_xlfn.XLOOKUP(TournamentData[[#This Row],[Team Number]],OfficialTeamList[Team Number],OfficialTeamList[Team Name],"",0,)</f>
        <v/>
      </c>
      <c r="C167" s="28">
        <f>IF(TournamentData[[#This Row],[Team Number]]="","",_xlfn.XLOOKUP(TournamentData[[#This Row],[Team Number]],RobotGameScores[Team Number],RobotGameScores[Match 1 Score],0,0,))</f>
        <v>0</v>
      </c>
      <c r="D167" s="28">
        <f>IF(TournamentData[[#This Row],[Team Number]]="","",_xlfn.XLOOKUP(TournamentData[[#This Row],[Team Number]],RobotGameScores[Team Number],RobotGameScores[Match 2 Score],0,0,))</f>
        <v>0</v>
      </c>
      <c r="E167" s="28">
        <f>IF(TournamentData[[#This Row],[Team Number]]="","",_xlfn.XLOOKUP(TournamentData[[#This Row],[Team Number]],RobotGameScores[Team Number],RobotGameScores[Match 3 Score],0,0,))</f>
        <v>0</v>
      </c>
      <c r="F167" s="28">
        <f>IF(TournamentData[[#This Row],[Team Number]]="","",_xlfn.XLOOKUP(TournamentData[[#This Row],[Team Number]],RobotGameScores[Team Number],RobotGameScores[Match 4 Score],0,0,))</f>
        <v>0</v>
      </c>
      <c r="G167" s="28">
        <f>IF(TournamentData[[#This Row],[Team Number]]="","",_xlfn.XLOOKUP(TournamentData[[#This Row],[Team Number]],RobotGameScores[Team Number],RobotGameScores[Match 5 Score],0,0,))</f>
        <v>0</v>
      </c>
      <c r="H167" s="28" t="str">
        <f>IF(TournamentData[[#This Row],[Team Name]]="","",_xlfn.XLOOKUP(TournamentData[[#This Row],[Team Name]],RobotGameScores[Team Name],RobotGameScores[Match 6 Score],0,0,))</f>
        <v/>
      </c>
      <c r="I167" s="28">
        <v>0</v>
      </c>
      <c r="J167" s="28">
        <f>SUM(TournamentData[[#This Row],[Match Score 1]:[Match Score 6]])/NumberOfRounds</f>
        <v>0</v>
      </c>
      <c r="K167" s="59">
        <f>IF(TournamentData[[#This Row],[Team Number]]="","",1+COUNTIFS($J$3:$J$201,"&gt;"&amp;J167)+COUNTIFS($J$3:$J$201,J167,$I$3:$I$201,"&gt;"&amp;I167))</f>
        <v>9</v>
      </c>
      <c r="L167" s="28">
        <f>IF(TournamentData[[#This Row],[Team Number]]="","",_xlfn.XLOOKUP(TournamentData[[#This Row],[Team Number]],CoreValuesResults[Team Number],CoreValuesResults[Core Values Rank],NumberOfTeams+1,0,))</f>
        <v>9</v>
      </c>
      <c r="M167" s="28">
        <f>IF(TournamentData[[#This Row],[Team Number]]="","",_xlfn.XLOOKUP(TournamentData[[#This Row],[Team Number]],InnovationProjectResults[Team Number],InnovationProjectResults[Innovation Project Rank],NumberOfTeams+1,0,))</f>
        <v>9</v>
      </c>
      <c r="N167" s="28">
        <f>IF(TournamentData[[#This Row],[Team Number]]="","",_xlfn.XLOOKUP(TournamentData[[#This Row],[Team Number]],RobotDesignResults[Team Number],RobotDesignResults[Engineering Design Rank],NumberOfTeams+1,0,))</f>
        <v>9</v>
      </c>
      <c r="O16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67" s="29">
        <f>IF(TournamentData[[#This Row],[Team Number]]="","",IF(O167,RANK(O167,O$3:O$202,1)-COUNTIF(O$3:O$202,0),NumberOfTeams+1))</f>
        <v>9</v>
      </c>
      <c r="Q167" s="30">
        <f>_xlfn.XLOOKUP(TournamentData[[#This Row],[Team Number]],CoreValuesResults[Team Number],CoreValuesResults[Inspiration Selection],0,0,)</f>
        <v>0</v>
      </c>
      <c r="R167" s="33">
        <f>_xlfn.XLOOKUP(TournamentData[[#This Row],[Team Number]],CoreValuesResults[Team Number],CoreValuesResults[Rising All-Star Selection],0,0,)</f>
        <v>0</v>
      </c>
      <c r="S16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67" s="31"/>
      <c r="U167" s="31"/>
      <c r="V167" s="32"/>
      <c r="W167" s="91">
        <f>_xlfn.XLOOKUP(TournamentData[[#This Row],[Team Number]],CoreValuesResults[Team Number],CoreValuesResults[Core Values Score],0,0,)</f>
        <v>0</v>
      </c>
      <c r="X167" s="91">
        <f>_xlfn.XLOOKUP(TournamentData[[#This Row],[Team Number]],InnovationProjectResults[Team Number],InnovationProjectResults[Innovation Project Score],0,0,)</f>
        <v>0</v>
      </c>
      <c r="Y167" s="91">
        <f>_xlfn.XLOOKUP(TournamentData[[#This Row],[Team Number]],RobotDesignResults[Team Number],RobotDesignResults[Engineering Design Score],0,0,)</f>
        <v>0</v>
      </c>
      <c r="Z16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67" s="31">
        <f t="shared" si="5"/>
        <v>8</v>
      </c>
      <c r="AB167" s="31"/>
    </row>
    <row r="168" spans="1:28" ht="21" customHeight="1" x14ac:dyDescent="0.25">
      <c r="A168">
        <f>_xlfn.XLOOKUP(166,OfficialTeamList[Row],OfficialTeamList[Team Number],"ERROR",0)</f>
        <v>0</v>
      </c>
      <c r="B168" s="27" t="str">
        <f>_xlfn.XLOOKUP(TournamentData[[#This Row],[Team Number]],OfficialTeamList[Team Number],OfficialTeamList[Team Name],"",0,)</f>
        <v/>
      </c>
      <c r="C168" s="28">
        <f>IF(TournamentData[[#This Row],[Team Number]]="","",_xlfn.XLOOKUP(TournamentData[[#This Row],[Team Number]],RobotGameScores[Team Number],RobotGameScores[Match 1 Score],0,0,))</f>
        <v>0</v>
      </c>
      <c r="D168" s="28">
        <f>IF(TournamentData[[#This Row],[Team Number]]="","",_xlfn.XLOOKUP(TournamentData[[#This Row],[Team Number]],RobotGameScores[Team Number],RobotGameScores[Match 2 Score],0,0,))</f>
        <v>0</v>
      </c>
      <c r="E168" s="28">
        <f>IF(TournamentData[[#This Row],[Team Number]]="","",_xlfn.XLOOKUP(TournamentData[[#This Row],[Team Number]],RobotGameScores[Team Number],RobotGameScores[Match 3 Score],0,0,))</f>
        <v>0</v>
      </c>
      <c r="F168" s="28">
        <f>IF(TournamentData[[#This Row],[Team Number]]="","",_xlfn.XLOOKUP(TournamentData[[#This Row],[Team Number]],RobotGameScores[Team Number],RobotGameScores[Match 4 Score],0,0,))</f>
        <v>0</v>
      </c>
      <c r="G168" s="28">
        <f>IF(TournamentData[[#This Row],[Team Number]]="","",_xlfn.XLOOKUP(TournamentData[[#This Row],[Team Number]],RobotGameScores[Team Number],RobotGameScores[Match 5 Score],0,0,))</f>
        <v>0</v>
      </c>
      <c r="H168" s="28" t="str">
        <f>IF(TournamentData[[#This Row],[Team Name]]="","",_xlfn.XLOOKUP(TournamentData[[#This Row],[Team Name]],RobotGameScores[Team Name],RobotGameScores[Match 6 Score],0,0,))</f>
        <v/>
      </c>
      <c r="I168" s="28">
        <v>0</v>
      </c>
      <c r="J168" s="28">
        <f>SUM(TournamentData[[#This Row],[Match Score 1]:[Match Score 6]])/NumberOfRounds</f>
        <v>0</v>
      </c>
      <c r="K168" s="60">
        <f>IF(TournamentData[[#This Row],[Team Number]]="","",1+COUNTIFS($J$3:$J$201,"&gt;"&amp;J168)+COUNTIFS($J$3:$J$201,J168,$I$3:$I$201,"&gt;"&amp;I168))</f>
        <v>9</v>
      </c>
      <c r="L168" s="28">
        <f>IF(TournamentData[[#This Row],[Team Number]]="","",_xlfn.XLOOKUP(TournamentData[[#This Row],[Team Number]],CoreValuesResults[Team Number],CoreValuesResults[Core Values Rank],NumberOfTeams+1,0,))</f>
        <v>9</v>
      </c>
      <c r="M168" s="28">
        <f>IF(TournamentData[[#This Row],[Team Number]]="","",_xlfn.XLOOKUP(TournamentData[[#This Row],[Team Number]],InnovationProjectResults[Team Number],InnovationProjectResults[Innovation Project Rank],NumberOfTeams+1,0,))</f>
        <v>9</v>
      </c>
      <c r="N168" s="28">
        <f>IF(TournamentData[[#This Row],[Team Number]]="","",_xlfn.XLOOKUP(TournamentData[[#This Row],[Team Number]],RobotDesignResults[Team Number],RobotDesignResults[Engineering Design Rank],NumberOfTeams+1,0,))</f>
        <v>9</v>
      </c>
      <c r="O16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68" s="29">
        <f>IF(TournamentData[[#This Row],[Team Number]]="","",IF(O168,RANK(O168,O$3:O$202,1)-COUNTIF(O$3:O$202,0),NumberOfTeams+1))</f>
        <v>9</v>
      </c>
      <c r="Q168" s="30">
        <f>_xlfn.XLOOKUP(TournamentData[[#This Row],[Team Number]],CoreValuesResults[Team Number],CoreValuesResults[Inspiration Selection],0,0,)</f>
        <v>0</v>
      </c>
      <c r="R168" s="33">
        <f>_xlfn.XLOOKUP(TournamentData[[#This Row],[Team Number]],CoreValuesResults[Team Number],CoreValuesResults[Rising All-Star Selection],0,0,)</f>
        <v>0</v>
      </c>
      <c r="S16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68" s="31"/>
      <c r="U168" s="31"/>
      <c r="V168" s="32"/>
      <c r="W168" s="91">
        <f>_xlfn.XLOOKUP(TournamentData[[#This Row],[Team Number]],CoreValuesResults[Team Number],CoreValuesResults[Core Values Score],0,0,)</f>
        <v>0</v>
      </c>
      <c r="X168" s="91">
        <f>_xlfn.XLOOKUP(TournamentData[[#This Row],[Team Number]],InnovationProjectResults[Team Number],InnovationProjectResults[Innovation Project Score],0,0,)</f>
        <v>0</v>
      </c>
      <c r="Y168" s="91">
        <f>_xlfn.XLOOKUP(TournamentData[[#This Row],[Team Number]],RobotDesignResults[Team Number],RobotDesignResults[Engineering Design Score],0,0,)</f>
        <v>0</v>
      </c>
      <c r="Z16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68" s="31">
        <f t="shared" si="5"/>
        <v>8</v>
      </c>
      <c r="AB168" s="31"/>
    </row>
    <row r="169" spans="1:28" ht="21" customHeight="1" x14ac:dyDescent="0.25">
      <c r="A169">
        <f>_xlfn.XLOOKUP(167,OfficialTeamList[Row],OfficialTeamList[Team Number],"ERROR",0)</f>
        <v>0</v>
      </c>
      <c r="B169" s="27" t="str">
        <f>_xlfn.XLOOKUP(TournamentData[[#This Row],[Team Number]],OfficialTeamList[Team Number],OfficialTeamList[Team Name],"",0,)</f>
        <v/>
      </c>
      <c r="C169" s="28">
        <f>IF(TournamentData[[#This Row],[Team Number]]="","",_xlfn.XLOOKUP(TournamentData[[#This Row],[Team Number]],RobotGameScores[Team Number],RobotGameScores[Match 1 Score],0,0,))</f>
        <v>0</v>
      </c>
      <c r="D169" s="28">
        <f>IF(TournamentData[[#This Row],[Team Number]]="","",_xlfn.XLOOKUP(TournamentData[[#This Row],[Team Number]],RobotGameScores[Team Number],RobotGameScores[Match 2 Score],0,0,))</f>
        <v>0</v>
      </c>
      <c r="E169" s="28">
        <f>IF(TournamentData[[#This Row],[Team Number]]="","",_xlfn.XLOOKUP(TournamentData[[#This Row],[Team Number]],RobotGameScores[Team Number],RobotGameScores[Match 3 Score],0,0,))</f>
        <v>0</v>
      </c>
      <c r="F169" s="28">
        <f>IF(TournamentData[[#This Row],[Team Number]]="","",_xlfn.XLOOKUP(TournamentData[[#This Row],[Team Number]],RobotGameScores[Team Number],RobotGameScores[Match 4 Score],0,0,))</f>
        <v>0</v>
      </c>
      <c r="G169" s="28">
        <f>IF(TournamentData[[#This Row],[Team Number]]="","",_xlfn.XLOOKUP(TournamentData[[#This Row],[Team Number]],RobotGameScores[Team Number],RobotGameScores[Match 5 Score],0,0,))</f>
        <v>0</v>
      </c>
      <c r="H169" s="28" t="str">
        <f>IF(TournamentData[[#This Row],[Team Name]]="","",_xlfn.XLOOKUP(TournamentData[[#This Row],[Team Name]],RobotGameScores[Team Name],RobotGameScores[Match 6 Score],0,0,))</f>
        <v/>
      </c>
      <c r="I169" s="28">
        <v>0</v>
      </c>
      <c r="J169" s="28">
        <f>SUM(TournamentData[[#This Row],[Match Score 1]:[Match Score 6]])/NumberOfRounds</f>
        <v>0</v>
      </c>
      <c r="K169" s="59">
        <f>IF(TournamentData[[#This Row],[Team Number]]="","",1+COUNTIFS($J$3:$J$201,"&gt;"&amp;J169)+COUNTIFS($J$3:$J$201,J169,$I$3:$I$201,"&gt;"&amp;I169))</f>
        <v>9</v>
      </c>
      <c r="L169" s="28">
        <f>IF(TournamentData[[#This Row],[Team Number]]="","",_xlfn.XLOOKUP(TournamentData[[#This Row],[Team Number]],CoreValuesResults[Team Number],CoreValuesResults[Core Values Rank],NumberOfTeams+1,0,))</f>
        <v>9</v>
      </c>
      <c r="M169" s="28">
        <f>IF(TournamentData[[#This Row],[Team Number]]="","",_xlfn.XLOOKUP(TournamentData[[#This Row],[Team Number]],InnovationProjectResults[Team Number],InnovationProjectResults[Innovation Project Rank],NumberOfTeams+1,0,))</f>
        <v>9</v>
      </c>
      <c r="N169" s="28">
        <f>IF(TournamentData[[#This Row],[Team Number]]="","",_xlfn.XLOOKUP(TournamentData[[#This Row],[Team Number]],RobotDesignResults[Team Number],RobotDesignResults[Engineering Design Rank],NumberOfTeams+1,0,))</f>
        <v>9</v>
      </c>
      <c r="O16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69" s="29">
        <f>IF(TournamentData[[#This Row],[Team Number]]="","",IF(O169,RANK(O169,O$3:O$202,1)-COUNTIF(O$3:O$202,0),NumberOfTeams+1))</f>
        <v>9</v>
      </c>
      <c r="Q169" s="30">
        <f>_xlfn.XLOOKUP(TournamentData[[#This Row],[Team Number]],CoreValuesResults[Team Number],CoreValuesResults[Inspiration Selection],0,0,)</f>
        <v>0</v>
      </c>
      <c r="R169" s="33">
        <f>_xlfn.XLOOKUP(TournamentData[[#This Row],[Team Number]],CoreValuesResults[Team Number],CoreValuesResults[Rising All-Star Selection],0,0,)</f>
        <v>0</v>
      </c>
      <c r="S16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69" s="31"/>
      <c r="U169" s="31"/>
      <c r="V169" s="32"/>
      <c r="W169" s="91">
        <f>_xlfn.XLOOKUP(TournamentData[[#This Row],[Team Number]],CoreValuesResults[Team Number],CoreValuesResults[Core Values Score],0,0,)</f>
        <v>0</v>
      </c>
      <c r="X169" s="91">
        <f>_xlfn.XLOOKUP(TournamentData[[#This Row],[Team Number]],InnovationProjectResults[Team Number],InnovationProjectResults[Innovation Project Score],0,0,)</f>
        <v>0</v>
      </c>
      <c r="Y169" s="91">
        <f>_xlfn.XLOOKUP(TournamentData[[#This Row],[Team Number]],RobotDesignResults[Team Number],RobotDesignResults[Engineering Design Score],0,0,)</f>
        <v>0</v>
      </c>
      <c r="Z16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69" s="31">
        <f t="shared" si="5"/>
        <v>8</v>
      </c>
      <c r="AB169" s="31"/>
    </row>
    <row r="170" spans="1:28" ht="21" customHeight="1" x14ac:dyDescent="0.25">
      <c r="A170">
        <f>_xlfn.XLOOKUP(168,OfficialTeamList[Row],OfficialTeamList[Team Number],"ERROR",0)</f>
        <v>0</v>
      </c>
      <c r="B170" s="27" t="str">
        <f>_xlfn.XLOOKUP(TournamentData[[#This Row],[Team Number]],OfficialTeamList[Team Number],OfficialTeamList[Team Name],"",0,)</f>
        <v/>
      </c>
      <c r="C170" s="28">
        <f>IF(TournamentData[[#This Row],[Team Number]]="","",_xlfn.XLOOKUP(TournamentData[[#This Row],[Team Number]],RobotGameScores[Team Number],RobotGameScores[Match 1 Score],0,0,))</f>
        <v>0</v>
      </c>
      <c r="D170" s="28">
        <f>IF(TournamentData[[#This Row],[Team Number]]="","",_xlfn.XLOOKUP(TournamentData[[#This Row],[Team Number]],RobotGameScores[Team Number],RobotGameScores[Match 2 Score],0,0,))</f>
        <v>0</v>
      </c>
      <c r="E170" s="28">
        <f>IF(TournamentData[[#This Row],[Team Number]]="","",_xlfn.XLOOKUP(TournamentData[[#This Row],[Team Number]],RobotGameScores[Team Number],RobotGameScores[Match 3 Score],0,0,))</f>
        <v>0</v>
      </c>
      <c r="F170" s="28">
        <f>IF(TournamentData[[#This Row],[Team Number]]="","",_xlfn.XLOOKUP(TournamentData[[#This Row],[Team Number]],RobotGameScores[Team Number],RobotGameScores[Match 4 Score],0,0,))</f>
        <v>0</v>
      </c>
      <c r="G170" s="28">
        <f>IF(TournamentData[[#This Row],[Team Number]]="","",_xlfn.XLOOKUP(TournamentData[[#This Row],[Team Number]],RobotGameScores[Team Number],RobotGameScores[Match 5 Score],0,0,))</f>
        <v>0</v>
      </c>
      <c r="H170" s="28" t="str">
        <f>IF(TournamentData[[#This Row],[Team Name]]="","",_xlfn.XLOOKUP(TournamentData[[#This Row],[Team Name]],RobotGameScores[Team Name],RobotGameScores[Match 6 Score],0,0,))</f>
        <v/>
      </c>
      <c r="I170" s="28">
        <v>0</v>
      </c>
      <c r="J170" s="28">
        <f>SUM(TournamentData[[#This Row],[Match Score 1]:[Match Score 6]])/NumberOfRounds</f>
        <v>0</v>
      </c>
      <c r="K170" s="60">
        <f>IF(TournamentData[[#This Row],[Team Number]]="","",1+COUNTIFS($J$3:$J$201,"&gt;"&amp;J170)+COUNTIFS($J$3:$J$201,J170,$I$3:$I$201,"&gt;"&amp;I170))</f>
        <v>9</v>
      </c>
      <c r="L170" s="28">
        <f>IF(TournamentData[[#This Row],[Team Number]]="","",_xlfn.XLOOKUP(TournamentData[[#This Row],[Team Number]],CoreValuesResults[Team Number],CoreValuesResults[Core Values Rank],NumberOfTeams+1,0,))</f>
        <v>9</v>
      </c>
      <c r="M170" s="28">
        <f>IF(TournamentData[[#This Row],[Team Number]]="","",_xlfn.XLOOKUP(TournamentData[[#This Row],[Team Number]],InnovationProjectResults[Team Number],InnovationProjectResults[Innovation Project Rank],NumberOfTeams+1,0,))</f>
        <v>9</v>
      </c>
      <c r="N170" s="28">
        <f>IF(TournamentData[[#This Row],[Team Number]]="","",_xlfn.XLOOKUP(TournamentData[[#This Row],[Team Number]],RobotDesignResults[Team Number],RobotDesignResults[Engineering Design Rank],NumberOfTeams+1,0,))</f>
        <v>9</v>
      </c>
      <c r="O17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70" s="29">
        <f>IF(TournamentData[[#This Row],[Team Number]]="","",IF(O170,RANK(O170,O$3:O$202,1)-COUNTIF(O$3:O$202,0),NumberOfTeams+1))</f>
        <v>9</v>
      </c>
      <c r="Q170" s="30">
        <f>_xlfn.XLOOKUP(TournamentData[[#This Row],[Team Number]],CoreValuesResults[Team Number],CoreValuesResults[Inspiration Selection],0,0,)</f>
        <v>0</v>
      </c>
      <c r="R170" s="33">
        <f>_xlfn.XLOOKUP(TournamentData[[#This Row],[Team Number]],CoreValuesResults[Team Number],CoreValuesResults[Rising All-Star Selection],0,0,)</f>
        <v>0</v>
      </c>
      <c r="S17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70" s="31"/>
      <c r="U170" s="31"/>
      <c r="V170" s="32"/>
      <c r="W170" s="91">
        <f>_xlfn.XLOOKUP(TournamentData[[#This Row],[Team Number]],CoreValuesResults[Team Number],CoreValuesResults[Core Values Score],0,0,)</f>
        <v>0</v>
      </c>
      <c r="X170" s="91">
        <f>_xlfn.XLOOKUP(TournamentData[[#This Row],[Team Number]],InnovationProjectResults[Team Number],InnovationProjectResults[Innovation Project Score],0,0,)</f>
        <v>0</v>
      </c>
      <c r="Y170" s="91">
        <f>_xlfn.XLOOKUP(TournamentData[[#This Row],[Team Number]],RobotDesignResults[Team Number],RobotDesignResults[Engineering Design Score],0,0,)</f>
        <v>0</v>
      </c>
      <c r="Z17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70" s="31">
        <f t="shared" si="5"/>
        <v>8</v>
      </c>
      <c r="AB170" s="31"/>
    </row>
    <row r="171" spans="1:28" ht="21" customHeight="1" x14ac:dyDescent="0.25">
      <c r="A171">
        <f>_xlfn.XLOOKUP(169,OfficialTeamList[Row],OfficialTeamList[Team Number],"ERROR",0)</f>
        <v>0</v>
      </c>
      <c r="B171" s="27" t="str">
        <f>_xlfn.XLOOKUP(TournamentData[[#This Row],[Team Number]],OfficialTeamList[Team Number],OfficialTeamList[Team Name],"",0,)</f>
        <v/>
      </c>
      <c r="C171" s="28">
        <f>IF(TournamentData[[#This Row],[Team Number]]="","",_xlfn.XLOOKUP(TournamentData[[#This Row],[Team Number]],RobotGameScores[Team Number],RobotGameScores[Match 1 Score],0,0,))</f>
        <v>0</v>
      </c>
      <c r="D171" s="28">
        <f>IF(TournamentData[[#This Row],[Team Number]]="","",_xlfn.XLOOKUP(TournamentData[[#This Row],[Team Number]],RobotGameScores[Team Number],RobotGameScores[Match 2 Score],0,0,))</f>
        <v>0</v>
      </c>
      <c r="E171" s="28">
        <f>IF(TournamentData[[#This Row],[Team Number]]="","",_xlfn.XLOOKUP(TournamentData[[#This Row],[Team Number]],RobotGameScores[Team Number],RobotGameScores[Match 3 Score],0,0,))</f>
        <v>0</v>
      </c>
      <c r="F171" s="28">
        <f>IF(TournamentData[[#This Row],[Team Number]]="","",_xlfn.XLOOKUP(TournamentData[[#This Row],[Team Number]],RobotGameScores[Team Number],RobotGameScores[Match 4 Score],0,0,))</f>
        <v>0</v>
      </c>
      <c r="G171" s="28">
        <f>IF(TournamentData[[#This Row],[Team Number]]="","",_xlfn.XLOOKUP(TournamentData[[#This Row],[Team Number]],RobotGameScores[Team Number],RobotGameScores[Match 5 Score],0,0,))</f>
        <v>0</v>
      </c>
      <c r="H171" s="28" t="str">
        <f>IF(TournamentData[[#This Row],[Team Name]]="","",_xlfn.XLOOKUP(TournamentData[[#This Row],[Team Name]],RobotGameScores[Team Name],RobotGameScores[Match 6 Score],0,0,))</f>
        <v/>
      </c>
      <c r="I171" s="28">
        <v>0</v>
      </c>
      <c r="J171" s="28">
        <f>SUM(TournamentData[[#This Row],[Match Score 1]:[Match Score 6]])/NumberOfRounds</f>
        <v>0</v>
      </c>
      <c r="K171" s="59">
        <f>IF(TournamentData[[#This Row],[Team Number]]="","",1+COUNTIFS($J$3:$J$201,"&gt;"&amp;J171)+COUNTIFS($J$3:$J$201,J171,$I$3:$I$201,"&gt;"&amp;I171))</f>
        <v>9</v>
      </c>
      <c r="L171" s="28">
        <f>IF(TournamentData[[#This Row],[Team Number]]="","",_xlfn.XLOOKUP(TournamentData[[#This Row],[Team Number]],CoreValuesResults[Team Number],CoreValuesResults[Core Values Rank],NumberOfTeams+1,0,))</f>
        <v>9</v>
      </c>
      <c r="M171" s="28">
        <f>IF(TournamentData[[#This Row],[Team Number]]="","",_xlfn.XLOOKUP(TournamentData[[#This Row],[Team Number]],InnovationProjectResults[Team Number],InnovationProjectResults[Innovation Project Rank],NumberOfTeams+1,0,))</f>
        <v>9</v>
      </c>
      <c r="N171" s="28">
        <f>IF(TournamentData[[#This Row],[Team Number]]="","",_xlfn.XLOOKUP(TournamentData[[#This Row],[Team Number]],RobotDesignResults[Team Number],RobotDesignResults[Engineering Design Rank],NumberOfTeams+1,0,))</f>
        <v>9</v>
      </c>
      <c r="O17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71" s="29">
        <f>IF(TournamentData[[#This Row],[Team Number]]="","",IF(O171,RANK(O171,O$3:O$202,1)-COUNTIF(O$3:O$202,0),NumberOfTeams+1))</f>
        <v>9</v>
      </c>
      <c r="Q171" s="30">
        <f>_xlfn.XLOOKUP(TournamentData[[#This Row],[Team Number]],CoreValuesResults[Team Number],CoreValuesResults[Inspiration Selection],0,0,)</f>
        <v>0</v>
      </c>
      <c r="R171" s="33">
        <f>_xlfn.XLOOKUP(TournamentData[[#This Row],[Team Number]],CoreValuesResults[Team Number],CoreValuesResults[Rising All-Star Selection],0,0,)</f>
        <v>0</v>
      </c>
      <c r="S17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71" s="31"/>
      <c r="U171" s="31"/>
      <c r="V171" s="32"/>
      <c r="W171" s="91">
        <f>_xlfn.XLOOKUP(TournamentData[[#This Row],[Team Number]],CoreValuesResults[Team Number],CoreValuesResults[Core Values Score],0,0,)</f>
        <v>0</v>
      </c>
      <c r="X171" s="91">
        <f>_xlfn.XLOOKUP(TournamentData[[#This Row],[Team Number]],InnovationProjectResults[Team Number],InnovationProjectResults[Innovation Project Score],0,0,)</f>
        <v>0</v>
      </c>
      <c r="Y171" s="91">
        <f>_xlfn.XLOOKUP(TournamentData[[#This Row],[Team Number]],RobotDesignResults[Team Number],RobotDesignResults[Engineering Design Score],0,0,)</f>
        <v>0</v>
      </c>
      <c r="Z17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71" s="31">
        <f t="shared" si="5"/>
        <v>8</v>
      </c>
      <c r="AB171" s="31"/>
    </row>
    <row r="172" spans="1:28" ht="21" customHeight="1" x14ac:dyDescent="0.25">
      <c r="A172">
        <f>_xlfn.XLOOKUP(170,OfficialTeamList[Row],OfficialTeamList[Team Number],"ERROR",0)</f>
        <v>0</v>
      </c>
      <c r="B172" s="27" t="str">
        <f>_xlfn.XLOOKUP(TournamentData[[#This Row],[Team Number]],OfficialTeamList[Team Number],OfficialTeamList[Team Name],"",0,)</f>
        <v/>
      </c>
      <c r="C172" s="28">
        <f>IF(TournamentData[[#This Row],[Team Number]]="","",_xlfn.XLOOKUP(TournamentData[[#This Row],[Team Number]],RobotGameScores[Team Number],RobotGameScores[Match 1 Score],0,0,))</f>
        <v>0</v>
      </c>
      <c r="D172" s="28">
        <f>IF(TournamentData[[#This Row],[Team Number]]="","",_xlfn.XLOOKUP(TournamentData[[#This Row],[Team Number]],RobotGameScores[Team Number],RobotGameScores[Match 2 Score],0,0,))</f>
        <v>0</v>
      </c>
      <c r="E172" s="28">
        <f>IF(TournamentData[[#This Row],[Team Number]]="","",_xlfn.XLOOKUP(TournamentData[[#This Row],[Team Number]],RobotGameScores[Team Number],RobotGameScores[Match 3 Score],0,0,))</f>
        <v>0</v>
      </c>
      <c r="F172" s="28">
        <f>IF(TournamentData[[#This Row],[Team Number]]="","",_xlfn.XLOOKUP(TournamentData[[#This Row],[Team Number]],RobotGameScores[Team Number],RobotGameScores[Match 4 Score],0,0,))</f>
        <v>0</v>
      </c>
      <c r="G172" s="28">
        <f>IF(TournamentData[[#This Row],[Team Number]]="","",_xlfn.XLOOKUP(TournamentData[[#This Row],[Team Number]],RobotGameScores[Team Number],RobotGameScores[Match 5 Score],0,0,))</f>
        <v>0</v>
      </c>
      <c r="H172" s="28" t="str">
        <f>IF(TournamentData[[#This Row],[Team Name]]="","",_xlfn.XLOOKUP(TournamentData[[#This Row],[Team Name]],RobotGameScores[Team Name],RobotGameScores[Match 6 Score],0,0,))</f>
        <v/>
      </c>
      <c r="I172" s="28">
        <v>0</v>
      </c>
      <c r="J172" s="28">
        <f>SUM(TournamentData[[#This Row],[Match Score 1]:[Match Score 6]])/NumberOfRounds</f>
        <v>0</v>
      </c>
      <c r="K172" s="60">
        <f>IF(TournamentData[[#This Row],[Team Number]]="","",1+COUNTIFS($J$3:$J$201,"&gt;"&amp;J172)+COUNTIFS($J$3:$J$201,J172,$I$3:$I$201,"&gt;"&amp;I172))</f>
        <v>9</v>
      </c>
      <c r="L172" s="28">
        <f>IF(TournamentData[[#This Row],[Team Number]]="","",_xlfn.XLOOKUP(TournamentData[[#This Row],[Team Number]],CoreValuesResults[Team Number],CoreValuesResults[Core Values Rank],NumberOfTeams+1,0,))</f>
        <v>9</v>
      </c>
      <c r="M172" s="28">
        <f>IF(TournamentData[[#This Row],[Team Number]]="","",_xlfn.XLOOKUP(TournamentData[[#This Row],[Team Number]],InnovationProjectResults[Team Number],InnovationProjectResults[Innovation Project Rank],NumberOfTeams+1,0,))</f>
        <v>9</v>
      </c>
      <c r="N172" s="28">
        <f>IF(TournamentData[[#This Row],[Team Number]]="","",_xlfn.XLOOKUP(TournamentData[[#This Row],[Team Number]],RobotDesignResults[Team Number],RobotDesignResults[Engineering Design Rank],NumberOfTeams+1,0,))</f>
        <v>9</v>
      </c>
      <c r="O17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72" s="29">
        <f>IF(TournamentData[[#This Row],[Team Number]]="","",IF(O172,RANK(O172,O$3:O$202,1)-COUNTIF(O$3:O$202,0),NumberOfTeams+1))</f>
        <v>9</v>
      </c>
      <c r="Q172" s="30">
        <f>_xlfn.XLOOKUP(TournamentData[[#This Row],[Team Number]],CoreValuesResults[Team Number],CoreValuesResults[Inspiration Selection],0,0,)</f>
        <v>0</v>
      </c>
      <c r="R172" s="33">
        <f>_xlfn.XLOOKUP(TournamentData[[#This Row],[Team Number]],CoreValuesResults[Team Number],CoreValuesResults[Rising All-Star Selection],0,0,)</f>
        <v>0</v>
      </c>
      <c r="S17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72" s="31"/>
      <c r="U172" s="31"/>
      <c r="V172" s="32"/>
      <c r="W172" s="91">
        <f>_xlfn.XLOOKUP(TournamentData[[#This Row],[Team Number]],CoreValuesResults[Team Number],CoreValuesResults[Core Values Score],0,0,)</f>
        <v>0</v>
      </c>
      <c r="X172" s="91">
        <f>_xlfn.XLOOKUP(TournamentData[[#This Row],[Team Number]],InnovationProjectResults[Team Number],InnovationProjectResults[Innovation Project Score],0,0,)</f>
        <v>0</v>
      </c>
      <c r="Y172" s="91">
        <f>_xlfn.XLOOKUP(TournamentData[[#This Row],[Team Number]],RobotDesignResults[Team Number],RobotDesignResults[Engineering Design Score],0,0,)</f>
        <v>0</v>
      </c>
      <c r="Z17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72" s="31">
        <f t="shared" si="5"/>
        <v>8</v>
      </c>
      <c r="AB172" s="31"/>
    </row>
    <row r="173" spans="1:28" ht="21" customHeight="1" x14ac:dyDescent="0.25">
      <c r="A173">
        <f>_xlfn.XLOOKUP(171,OfficialTeamList[Row],OfficialTeamList[Team Number],"ERROR",0)</f>
        <v>0</v>
      </c>
      <c r="B173" s="27" t="str">
        <f>_xlfn.XLOOKUP(TournamentData[[#This Row],[Team Number]],OfficialTeamList[Team Number],OfficialTeamList[Team Name],"",0,)</f>
        <v/>
      </c>
      <c r="C173" s="28">
        <f>IF(TournamentData[[#This Row],[Team Number]]="","",_xlfn.XLOOKUP(TournamentData[[#This Row],[Team Number]],RobotGameScores[Team Number],RobotGameScores[Match 1 Score],0,0,))</f>
        <v>0</v>
      </c>
      <c r="D173" s="28">
        <f>IF(TournamentData[[#This Row],[Team Number]]="","",_xlfn.XLOOKUP(TournamentData[[#This Row],[Team Number]],RobotGameScores[Team Number],RobotGameScores[Match 2 Score],0,0,))</f>
        <v>0</v>
      </c>
      <c r="E173" s="28">
        <f>IF(TournamentData[[#This Row],[Team Number]]="","",_xlfn.XLOOKUP(TournamentData[[#This Row],[Team Number]],RobotGameScores[Team Number],RobotGameScores[Match 3 Score],0,0,))</f>
        <v>0</v>
      </c>
      <c r="F173" s="28">
        <f>IF(TournamentData[[#This Row],[Team Number]]="","",_xlfn.XLOOKUP(TournamentData[[#This Row],[Team Number]],RobotGameScores[Team Number],RobotGameScores[Match 4 Score],0,0,))</f>
        <v>0</v>
      </c>
      <c r="G173" s="28">
        <f>IF(TournamentData[[#This Row],[Team Number]]="","",_xlfn.XLOOKUP(TournamentData[[#This Row],[Team Number]],RobotGameScores[Team Number],RobotGameScores[Match 5 Score],0,0,))</f>
        <v>0</v>
      </c>
      <c r="H173" s="28" t="str">
        <f>IF(TournamentData[[#This Row],[Team Name]]="","",_xlfn.XLOOKUP(TournamentData[[#This Row],[Team Name]],RobotGameScores[Team Name],RobotGameScores[Match 6 Score],0,0,))</f>
        <v/>
      </c>
      <c r="I173" s="28">
        <v>0</v>
      </c>
      <c r="J173" s="28">
        <f>SUM(TournamentData[[#This Row],[Match Score 1]:[Match Score 6]])/NumberOfRounds</f>
        <v>0</v>
      </c>
      <c r="K173" s="59">
        <f>IF(TournamentData[[#This Row],[Team Number]]="","",1+COUNTIFS($J$3:$J$201,"&gt;"&amp;J173)+COUNTIFS($J$3:$J$201,J173,$I$3:$I$201,"&gt;"&amp;I173))</f>
        <v>9</v>
      </c>
      <c r="L173" s="28">
        <f>IF(TournamentData[[#This Row],[Team Number]]="","",_xlfn.XLOOKUP(TournamentData[[#This Row],[Team Number]],CoreValuesResults[Team Number],CoreValuesResults[Core Values Rank],NumberOfTeams+1,0,))</f>
        <v>9</v>
      </c>
      <c r="M173" s="28">
        <f>IF(TournamentData[[#This Row],[Team Number]]="","",_xlfn.XLOOKUP(TournamentData[[#This Row],[Team Number]],InnovationProjectResults[Team Number],InnovationProjectResults[Innovation Project Rank],NumberOfTeams+1,0,))</f>
        <v>9</v>
      </c>
      <c r="N173" s="28">
        <f>IF(TournamentData[[#This Row],[Team Number]]="","",_xlfn.XLOOKUP(TournamentData[[#This Row],[Team Number]],RobotDesignResults[Team Number],RobotDesignResults[Engineering Design Rank],NumberOfTeams+1,0,))</f>
        <v>9</v>
      </c>
      <c r="O17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73" s="29">
        <f>IF(TournamentData[[#This Row],[Team Number]]="","",IF(O173,RANK(O173,O$3:O$202,1)-COUNTIF(O$3:O$202,0),NumberOfTeams+1))</f>
        <v>9</v>
      </c>
      <c r="Q173" s="30">
        <f>_xlfn.XLOOKUP(TournamentData[[#This Row],[Team Number]],CoreValuesResults[Team Number],CoreValuesResults[Inspiration Selection],0,0,)</f>
        <v>0</v>
      </c>
      <c r="R173" s="33">
        <f>_xlfn.XLOOKUP(TournamentData[[#This Row],[Team Number]],CoreValuesResults[Team Number],CoreValuesResults[Rising All-Star Selection],0,0,)</f>
        <v>0</v>
      </c>
      <c r="S17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73" s="31"/>
      <c r="U173" s="31"/>
      <c r="V173" s="32"/>
      <c r="W173" s="91">
        <f>_xlfn.XLOOKUP(TournamentData[[#This Row],[Team Number]],CoreValuesResults[Team Number],CoreValuesResults[Core Values Score],0,0,)</f>
        <v>0</v>
      </c>
      <c r="X173" s="91">
        <f>_xlfn.XLOOKUP(TournamentData[[#This Row],[Team Number]],InnovationProjectResults[Team Number],InnovationProjectResults[Innovation Project Score],0,0,)</f>
        <v>0</v>
      </c>
      <c r="Y173" s="91">
        <f>_xlfn.XLOOKUP(TournamentData[[#This Row],[Team Number]],RobotDesignResults[Team Number],RobotDesignResults[Engineering Design Score],0,0,)</f>
        <v>0</v>
      </c>
      <c r="Z17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73" s="31">
        <f t="shared" si="5"/>
        <v>8</v>
      </c>
      <c r="AB173" s="31"/>
    </row>
    <row r="174" spans="1:28" ht="21" customHeight="1" x14ac:dyDescent="0.25">
      <c r="A174">
        <f>_xlfn.XLOOKUP(172,OfficialTeamList[Row],OfficialTeamList[Team Number],"ERROR",0)</f>
        <v>0</v>
      </c>
      <c r="B174" s="27" t="str">
        <f>_xlfn.XLOOKUP(TournamentData[[#This Row],[Team Number]],OfficialTeamList[Team Number],OfficialTeamList[Team Name],"",0,)</f>
        <v/>
      </c>
      <c r="C174" s="28">
        <f>IF(TournamentData[[#This Row],[Team Number]]="","",_xlfn.XLOOKUP(TournamentData[[#This Row],[Team Number]],RobotGameScores[Team Number],RobotGameScores[Match 1 Score],0,0,))</f>
        <v>0</v>
      </c>
      <c r="D174" s="28">
        <f>IF(TournamentData[[#This Row],[Team Number]]="","",_xlfn.XLOOKUP(TournamentData[[#This Row],[Team Number]],RobotGameScores[Team Number],RobotGameScores[Match 2 Score],0,0,))</f>
        <v>0</v>
      </c>
      <c r="E174" s="28">
        <f>IF(TournamentData[[#This Row],[Team Number]]="","",_xlfn.XLOOKUP(TournamentData[[#This Row],[Team Number]],RobotGameScores[Team Number],RobotGameScores[Match 3 Score],0,0,))</f>
        <v>0</v>
      </c>
      <c r="F174" s="28">
        <f>IF(TournamentData[[#This Row],[Team Number]]="","",_xlfn.XLOOKUP(TournamentData[[#This Row],[Team Number]],RobotGameScores[Team Number],RobotGameScores[Match 4 Score],0,0,))</f>
        <v>0</v>
      </c>
      <c r="G174" s="28">
        <f>IF(TournamentData[[#This Row],[Team Number]]="","",_xlfn.XLOOKUP(TournamentData[[#This Row],[Team Number]],RobotGameScores[Team Number],RobotGameScores[Match 5 Score],0,0,))</f>
        <v>0</v>
      </c>
      <c r="H174" s="28" t="str">
        <f>IF(TournamentData[[#This Row],[Team Name]]="","",_xlfn.XLOOKUP(TournamentData[[#This Row],[Team Name]],RobotGameScores[Team Name],RobotGameScores[Match 6 Score],0,0,))</f>
        <v/>
      </c>
      <c r="I174" s="28">
        <v>0</v>
      </c>
      <c r="J174" s="28">
        <f>SUM(TournamentData[[#This Row],[Match Score 1]:[Match Score 6]])/NumberOfRounds</f>
        <v>0</v>
      </c>
      <c r="K174" s="60">
        <f>IF(TournamentData[[#This Row],[Team Number]]="","",1+COUNTIFS($J$3:$J$201,"&gt;"&amp;J174)+COUNTIFS($J$3:$J$201,J174,$I$3:$I$201,"&gt;"&amp;I174))</f>
        <v>9</v>
      </c>
      <c r="L174" s="28">
        <f>IF(TournamentData[[#This Row],[Team Number]]="","",_xlfn.XLOOKUP(TournamentData[[#This Row],[Team Number]],CoreValuesResults[Team Number],CoreValuesResults[Core Values Rank],NumberOfTeams+1,0,))</f>
        <v>9</v>
      </c>
      <c r="M174" s="28">
        <f>IF(TournamentData[[#This Row],[Team Number]]="","",_xlfn.XLOOKUP(TournamentData[[#This Row],[Team Number]],InnovationProjectResults[Team Number],InnovationProjectResults[Innovation Project Rank],NumberOfTeams+1,0,))</f>
        <v>9</v>
      </c>
      <c r="N174" s="28">
        <f>IF(TournamentData[[#This Row],[Team Number]]="","",_xlfn.XLOOKUP(TournamentData[[#This Row],[Team Number]],RobotDesignResults[Team Number],RobotDesignResults[Engineering Design Rank],NumberOfTeams+1,0,))</f>
        <v>9</v>
      </c>
      <c r="O17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74" s="29">
        <f>IF(TournamentData[[#This Row],[Team Number]]="","",IF(O174,RANK(O174,O$3:O$202,1)-COUNTIF(O$3:O$202,0),NumberOfTeams+1))</f>
        <v>9</v>
      </c>
      <c r="Q174" s="30">
        <f>_xlfn.XLOOKUP(TournamentData[[#This Row],[Team Number]],CoreValuesResults[Team Number],CoreValuesResults[Inspiration Selection],0,0,)</f>
        <v>0</v>
      </c>
      <c r="R174" s="33">
        <f>_xlfn.XLOOKUP(TournamentData[[#This Row],[Team Number]],CoreValuesResults[Team Number],CoreValuesResults[Rising All-Star Selection],0,0,)</f>
        <v>0</v>
      </c>
      <c r="S17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74" s="31"/>
      <c r="U174" s="31"/>
      <c r="V174" s="32"/>
      <c r="W174" s="91">
        <f>_xlfn.XLOOKUP(TournamentData[[#This Row],[Team Number]],CoreValuesResults[Team Number],CoreValuesResults[Core Values Score],0,0,)</f>
        <v>0</v>
      </c>
      <c r="X174" s="91">
        <f>_xlfn.XLOOKUP(TournamentData[[#This Row],[Team Number]],InnovationProjectResults[Team Number],InnovationProjectResults[Innovation Project Score],0,0,)</f>
        <v>0</v>
      </c>
      <c r="Y174" s="91">
        <f>_xlfn.XLOOKUP(TournamentData[[#This Row],[Team Number]],RobotDesignResults[Team Number],RobotDesignResults[Engineering Design Score],0,0,)</f>
        <v>0</v>
      </c>
      <c r="Z17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74" s="31">
        <f t="shared" si="5"/>
        <v>8</v>
      </c>
      <c r="AB174" s="31"/>
    </row>
    <row r="175" spans="1:28" ht="21" customHeight="1" x14ac:dyDescent="0.25">
      <c r="A175">
        <f>_xlfn.XLOOKUP(173,OfficialTeamList[Row],OfficialTeamList[Team Number],"ERROR",0)</f>
        <v>0</v>
      </c>
      <c r="B175" s="27" t="str">
        <f>_xlfn.XLOOKUP(TournamentData[[#This Row],[Team Number]],OfficialTeamList[Team Number],OfficialTeamList[Team Name],"",0,)</f>
        <v/>
      </c>
      <c r="C175" s="28">
        <f>IF(TournamentData[[#This Row],[Team Number]]="","",_xlfn.XLOOKUP(TournamentData[[#This Row],[Team Number]],RobotGameScores[Team Number],RobotGameScores[Match 1 Score],0,0,))</f>
        <v>0</v>
      </c>
      <c r="D175" s="28">
        <f>IF(TournamentData[[#This Row],[Team Number]]="","",_xlfn.XLOOKUP(TournamentData[[#This Row],[Team Number]],RobotGameScores[Team Number],RobotGameScores[Match 2 Score],0,0,))</f>
        <v>0</v>
      </c>
      <c r="E175" s="28">
        <f>IF(TournamentData[[#This Row],[Team Number]]="","",_xlfn.XLOOKUP(TournamentData[[#This Row],[Team Number]],RobotGameScores[Team Number],RobotGameScores[Match 3 Score],0,0,))</f>
        <v>0</v>
      </c>
      <c r="F175" s="28">
        <f>IF(TournamentData[[#This Row],[Team Number]]="","",_xlfn.XLOOKUP(TournamentData[[#This Row],[Team Number]],RobotGameScores[Team Number],RobotGameScores[Match 4 Score],0,0,))</f>
        <v>0</v>
      </c>
      <c r="G175" s="28">
        <f>IF(TournamentData[[#This Row],[Team Number]]="","",_xlfn.XLOOKUP(TournamentData[[#This Row],[Team Number]],RobotGameScores[Team Number],RobotGameScores[Match 5 Score],0,0,))</f>
        <v>0</v>
      </c>
      <c r="H175" s="28" t="str">
        <f>IF(TournamentData[[#This Row],[Team Name]]="","",_xlfn.XLOOKUP(TournamentData[[#This Row],[Team Name]],RobotGameScores[Team Name],RobotGameScores[Match 6 Score],0,0,))</f>
        <v/>
      </c>
      <c r="I175" s="28">
        <v>0</v>
      </c>
      <c r="J175" s="28">
        <f>SUM(TournamentData[[#This Row],[Match Score 1]:[Match Score 6]])/NumberOfRounds</f>
        <v>0</v>
      </c>
      <c r="K175" s="59">
        <f>IF(TournamentData[[#This Row],[Team Number]]="","",1+COUNTIFS($J$3:$J$201,"&gt;"&amp;J175)+COUNTIFS($J$3:$J$201,J175,$I$3:$I$201,"&gt;"&amp;I175))</f>
        <v>9</v>
      </c>
      <c r="L175" s="28">
        <f>IF(TournamentData[[#This Row],[Team Number]]="","",_xlfn.XLOOKUP(TournamentData[[#This Row],[Team Number]],CoreValuesResults[Team Number],CoreValuesResults[Core Values Rank],NumberOfTeams+1,0,))</f>
        <v>9</v>
      </c>
      <c r="M175" s="28">
        <f>IF(TournamentData[[#This Row],[Team Number]]="","",_xlfn.XLOOKUP(TournamentData[[#This Row],[Team Number]],InnovationProjectResults[Team Number],InnovationProjectResults[Innovation Project Rank],NumberOfTeams+1,0,))</f>
        <v>9</v>
      </c>
      <c r="N175" s="28">
        <f>IF(TournamentData[[#This Row],[Team Number]]="","",_xlfn.XLOOKUP(TournamentData[[#This Row],[Team Number]],RobotDesignResults[Team Number],RobotDesignResults[Engineering Design Rank],NumberOfTeams+1,0,))</f>
        <v>9</v>
      </c>
      <c r="O17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75" s="29">
        <f>IF(TournamentData[[#This Row],[Team Number]]="","",IF(O175,RANK(O175,O$3:O$202,1)-COUNTIF(O$3:O$202,0),NumberOfTeams+1))</f>
        <v>9</v>
      </c>
      <c r="Q175" s="30">
        <f>_xlfn.XLOOKUP(TournamentData[[#This Row],[Team Number]],CoreValuesResults[Team Number],CoreValuesResults[Inspiration Selection],0,0,)</f>
        <v>0</v>
      </c>
      <c r="R175" s="33">
        <f>_xlfn.XLOOKUP(TournamentData[[#This Row],[Team Number]],CoreValuesResults[Team Number],CoreValuesResults[Rising All-Star Selection],0,0,)</f>
        <v>0</v>
      </c>
      <c r="S17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75" s="31"/>
      <c r="U175" s="31"/>
      <c r="V175" s="32"/>
      <c r="W175" s="91">
        <f>_xlfn.XLOOKUP(TournamentData[[#This Row],[Team Number]],CoreValuesResults[Team Number],CoreValuesResults[Core Values Score],0,0,)</f>
        <v>0</v>
      </c>
      <c r="X175" s="91">
        <f>_xlfn.XLOOKUP(TournamentData[[#This Row],[Team Number]],InnovationProjectResults[Team Number],InnovationProjectResults[Innovation Project Score],0,0,)</f>
        <v>0</v>
      </c>
      <c r="Y175" s="91">
        <f>_xlfn.XLOOKUP(TournamentData[[#This Row],[Team Number]],RobotDesignResults[Team Number],RobotDesignResults[Engineering Design Score],0,0,)</f>
        <v>0</v>
      </c>
      <c r="Z17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75" s="31">
        <f t="shared" si="5"/>
        <v>8</v>
      </c>
      <c r="AB175" s="31"/>
    </row>
    <row r="176" spans="1:28" ht="21" customHeight="1" x14ac:dyDescent="0.25">
      <c r="A176">
        <f>_xlfn.XLOOKUP(174,OfficialTeamList[Row],OfficialTeamList[Team Number],"ERROR",0)</f>
        <v>0</v>
      </c>
      <c r="B176" s="27" t="str">
        <f>_xlfn.XLOOKUP(TournamentData[[#This Row],[Team Number]],OfficialTeamList[Team Number],OfficialTeamList[Team Name],"",0,)</f>
        <v/>
      </c>
      <c r="C176" s="28">
        <f>IF(TournamentData[[#This Row],[Team Number]]="","",_xlfn.XLOOKUP(TournamentData[[#This Row],[Team Number]],RobotGameScores[Team Number],RobotGameScores[Match 1 Score],0,0,))</f>
        <v>0</v>
      </c>
      <c r="D176" s="28">
        <f>IF(TournamentData[[#This Row],[Team Number]]="","",_xlfn.XLOOKUP(TournamentData[[#This Row],[Team Number]],RobotGameScores[Team Number],RobotGameScores[Match 2 Score],0,0,))</f>
        <v>0</v>
      </c>
      <c r="E176" s="28">
        <f>IF(TournamentData[[#This Row],[Team Number]]="","",_xlfn.XLOOKUP(TournamentData[[#This Row],[Team Number]],RobotGameScores[Team Number],RobotGameScores[Match 3 Score],0,0,))</f>
        <v>0</v>
      </c>
      <c r="F176" s="28">
        <f>IF(TournamentData[[#This Row],[Team Number]]="","",_xlfn.XLOOKUP(TournamentData[[#This Row],[Team Number]],RobotGameScores[Team Number],RobotGameScores[Match 4 Score],0,0,))</f>
        <v>0</v>
      </c>
      <c r="G176" s="28">
        <f>IF(TournamentData[[#This Row],[Team Number]]="","",_xlfn.XLOOKUP(TournamentData[[#This Row],[Team Number]],RobotGameScores[Team Number],RobotGameScores[Match 5 Score],0,0,))</f>
        <v>0</v>
      </c>
      <c r="H176" s="28" t="str">
        <f>IF(TournamentData[[#This Row],[Team Name]]="","",_xlfn.XLOOKUP(TournamentData[[#This Row],[Team Name]],RobotGameScores[Team Name],RobotGameScores[Match 6 Score],0,0,))</f>
        <v/>
      </c>
      <c r="I176" s="28">
        <v>0</v>
      </c>
      <c r="J176" s="28">
        <f>SUM(TournamentData[[#This Row],[Match Score 1]:[Match Score 6]])/NumberOfRounds</f>
        <v>0</v>
      </c>
      <c r="K176" s="60">
        <f>IF(TournamentData[[#This Row],[Team Number]]="","",1+COUNTIFS($J$3:$J$201,"&gt;"&amp;J176)+COUNTIFS($J$3:$J$201,J176,$I$3:$I$201,"&gt;"&amp;I176))</f>
        <v>9</v>
      </c>
      <c r="L176" s="28">
        <f>IF(TournamentData[[#This Row],[Team Number]]="","",_xlfn.XLOOKUP(TournamentData[[#This Row],[Team Number]],CoreValuesResults[Team Number],CoreValuesResults[Core Values Rank],NumberOfTeams+1,0,))</f>
        <v>9</v>
      </c>
      <c r="M176" s="28">
        <f>IF(TournamentData[[#This Row],[Team Number]]="","",_xlfn.XLOOKUP(TournamentData[[#This Row],[Team Number]],InnovationProjectResults[Team Number],InnovationProjectResults[Innovation Project Rank],NumberOfTeams+1,0,))</f>
        <v>9</v>
      </c>
      <c r="N176" s="28">
        <f>IF(TournamentData[[#This Row],[Team Number]]="","",_xlfn.XLOOKUP(TournamentData[[#This Row],[Team Number]],RobotDesignResults[Team Number],RobotDesignResults[Engineering Design Rank],NumberOfTeams+1,0,))</f>
        <v>9</v>
      </c>
      <c r="O17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76" s="29">
        <f>IF(TournamentData[[#This Row],[Team Number]]="","",IF(O176,RANK(O176,O$3:O$202,1)-COUNTIF(O$3:O$202,0),NumberOfTeams+1))</f>
        <v>9</v>
      </c>
      <c r="Q176" s="30">
        <f>_xlfn.XLOOKUP(TournamentData[[#This Row],[Team Number]],CoreValuesResults[Team Number],CoreValuesResults[Inspiration Selection],0,0,)</f>
        <v>0</v>
      </c>
      <c r="R176" s="33">
        <f>_xlfn.XLOOKUP(TournamentData[[#This Row],[Team Number]],CoreValuesResults[Team Number],CoreValuesResults[Rising All-Star Selection],0,0,)</f>
        <v>0</v>
      </c>
      <c r="S17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76" s="31"/>
      <c r="U176" s="31"/>
      <c r="V176" s="32"/>
      <c r="W176" s="91">
        <f>_xlfn.XLOOKUP(TournamentData[[#This Row],[Team Number]],CoreValuesResults[Team Number],CoreValuesResults[Core Values Score],0,0,)</f>
        <v>0</v>
      </c>
      <c r="X176" s="91">
        <f>_xlfn.XLOOKUP(TournamentData[[#This Row],[Team Number]],InnovationProjectResults[Team Number],InnovationProjectResults[Innovation Project Score],0,0,)</f>
        <v>0</v>
      </c>
      <c r="Y176" s="91">
        <f>_xlfn.XLOOKUP(TournamentData[[#This Row],[Team Number]],RobotDesignResults[Team Number],RobotDesignResults[Engineering Design Score],0,0,)</f>
        <v>0</v>
      </c>
      <c r="Z17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76" s="31">
        <f t="shared" si="5"/>
        <v>8</v>
      </c>
      <c r="AB176" s="31"/>
    </row>
    <row r="177" spans="1:28" ht="21" customHeight="1" x14ac:dyDescent="0.25">
      <c r="A177">
        <f>_xlfn.XLOOKUP(175,OfficialTeamList[Row],OfficialTeamList[Team Number],"ERROR",0)</f>
        <v>0</v>
      </c>
      <c r="B177" s="27" t="str">
        <f>_xlfn.XLOOKUP(TournamentData[[#This Row],[Team Number]],OfficialTeamList[Team Number],OfficialTeamList[Team Name],"",0,)</f>
        <v/>
      </c>
      <c r="C177" s="28">
        <f>IF(TournamentData[[#This Row],[Team Number]]="","",_xlfn.XLOOKUP(TournamentData[[#This Row],[Team Number]],RobotGameScores[Team Number],RobotGameScores[Match 1 Score],0,0,))</f>
        <v>0</v>
      </c>
      <c r="D177" s="28">
        <f>IF(TournamentData[[#This Row],[Team Number]]="","",_xlfn.XLOOKUP(TournamentData[[#This Row],[Team Number]],RobotGameScores[Team Number],RobotGameScores[Match 2 Score],0,0,))</f>
        <v>0</v>
      </c>
      <c r="E177" s="28">
        <f>IF(TournamentData[[#This Row],[Team Number]]="","",_xlfn.XLOOKUP(TournamentData[[#This Row],[Team Number]],RobotGameScores[Team Number],RobotGameScores[Match 3 Score],0,0,))</f>
        <v>0</v>
      </c>
      <c r="F177" s="28">
        <f>IF(TournamentData[[#This Row],[Team Number]]="","",_xlfn.XLOOKUP(TournamentData[[#This Row],[Team Number]],RobotGameScores[Team Number],RobotGameScores[Match 4 Score],0,0,))</f>
        <v>0</v>
      </c>
      <c r="G177" s="28">
        <f>IF(TournamentData[[#This Row],[Team Number]]="","",_xlfn.XLOOKUP(TournamentData[[#This Row],[Team Number]],RobotGameScores[Team Number],RobotGameScores[Match 5 Score],0,0,))</f>
        <v>0</v>
      </c>
      <c r="H177" s="28" t="str">
        <f>IF(TournamentData[[#This Row],[Team Name]]="","",_xlfn.XLOOKUP(TournamentData[[#This Row],[Team Name]],RobotGameScores[Team Name],RobotGameScores[Match 6 Score],0,0,))</f>
        <v/>
      </c>
      <c r="I177" s="28">
        <v>0</v>
      </c>
      <c r="J177" s="28">
        <f>SUM(TournamentData[[#This Row],[Match Score 1]:[Match Score 6]])/NumberOfRounds</f>
        <v>0</v>
      </c>
      <c r="K177" s="59">
        <f>IF(TournamentData[[#This Row],[Team Number]]="","",1+COUNTIFS($J$3:$J$201,"&gt;"&amp;J177)+COUNTIFS($J$3:$J$201,J177,$I$3:$I$201,"&gt;"&amp;I177))</f>
        <v>9</v>
      </c>
      <c r="L177" s="28">
        <f>IF(TournamentData[[#This Row],[Team Number]]="","",_xlfn.XLOOKUP(TournamentData[[#This Row],[Team Number]],CoreValuesResults[Team Number],CoreValuesResults[Core Values Rank],NumberOfTeams+1,0,))</f>
        <v>9</v>
      </c>
      <c r="M177" s="28">
        <f>IF(TournamentData[[#This Row],[Team Number]]="","",_xlfn.XLOOKUP(TournamentData[[#This Row],[Team Number]],InnovationProjectResults[Team Number],InnovationProjectResults[Innovation Project Rank],NumberOfTeams+1,0,))</f>
        <v>9</v>
      </c>
      <c r="N177" s="28">
        <f>IF(TournamentData[[#This Row],[Team Number]]="","",_xlfn.XLOOKUP(TournamentData[[#This Row],[Team Number]],RobotDesignResults[Team Number],RobotDesignResults[Engineering Design Rank],NumberOfTeams+1,0,))</f>
        <v>9</v>
      </c>
      <c r="O17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77" s="29">
        <f>IF(TournamentData[[#This Row],[Team Number]]="","",IF(O177,RANK(O177,O$3:O$202,1)-COUNTIF(O$3:O$202,0),NumberOfTeams+1))</f>
        <v>9</v>
      </c>
      <c r="Q177" s="30">
        <f>_xlfn.XLOOKUP(TournamentData[[#This Row],[Team Number]],CoreValuesResults[Team Number],CoreValuesResults[Inspiration Selection],0,0,)</f>
        <v>0</v>
      </c>
      <c r="R177" s="33">
        <f>_xlfn.XLOOKUP(TournamentData[[#This Row],[Team Number]],CoreValuesResults[Team Number],CoreValuesResults[Rising All-Star Selection],0,0,)</f>
        <v>0</v>
      </c>
      <c r="S17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77" s="31"/>
      <c r="U177" s="31"/>
      <c r="V177" s="32"/>
      <c r="W177" s="91">
        <f>_xlfn.XLOOKUP(TournamentData[[#This Row],[Team Number]],CoreValuesResults[Team Number],CoreValuesResults[Core Values Score],0,0,)</f>
        <v>0</v>
      </c>
      <c r="X177" s="91">
        <f>_xlfn.XLOOKUP(TournamentData[[#This Row],[Team Number]],InnovationProjectResults[Team Number],InnovationProjectResults[Innovation Project Score],0,0,)</f>
        <v>0</v>
      </c>
      <c r="Y177" s="91">
        <f>_xlfn.XLOOKUP(TournamentData[[#This Row],[Team Number]],RobotDesignResults[Team Number],RobotDesignResults[Engineering Design Score],0,0,)</f>
        <v>0</v>
      </c>
      <c r="Z17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77" s="31">
        <f t="shared" si="5"/>
        <v>8</v>
      </c>
      <c r="AB177" s="31"/>
    </row>
    <row r="178" spans="1:28" ht="21" customHeight="1" x14ac:dyDescent="0.25">
      <c r="A178">
        <f>_xlfn.XLOOKUP(176,OfficialTeamList[Row],OfficialTeamList[Team Number],"ERROR",0)</f>
        <v>0</v>
      </c>
      <c r="B178" s="27" t="str">
        <f>_xlfn.XLOOKUP(TournamentData[[#This Row],[Team Number]],OfficialTeamList[Team Number],OfficialTeamList[Team Name],"",0,)</f>
        <v/>
      </c>
      <c r="C178" s="28">
        <f>IF(TournamentData[[#This Row],[Team Number]]="","",_xlfn.XLOOKUP(TournamentData[[#This Row],[Team Number]],RobotGameScores[Team Number],RobotGameScores[Match 1 Score],0,0,))</f>
        <v>0</v>
      </c>
      <c r="D178" s="28">
        <f>IF(TournamentData[[#This Row],[Team Number]]="","",_xlfn.XLOOKUP(TournamentData[[#This Row],[Team Number]],RobotGameScores[Team Number],RobotGameScores[Match 2 Score],0,0,))</f>
        <v>0</v>
      </c>
      <c r="E178" s="28">
        <f>IF(TournamentData[[#This Row],[Team Number]]="","",_xlfn.XLOOKUP(TournamentData[[#This Row],[Team Number]],RobotGameScores[Team Number],RobotGameScores[Match 3 Score],0,0,))</f>
        <v>0</v>
      </c>
      <c r="F178" s="28">
        <f>IF(TournamentData[[#This Row],[Team Number]]="","",_xlfn.XLOOKUP(TournamentData[[#This Row],[Team Number]],RobotGameScores[Team Number],RobotGameScores[Match 4 Score],0,0,))</f>
        <v>0</v>
      </c>
      <c r="G178" s="28">
        <f>IF(TournamentData[[#This Row],[Team Number]]="","",_xlfn.XLOOKUP(TournamentData[[#This Row],[Team Number]],RobotGameScores[Team Number],RobotGameScores[Match 5 Score],0,0,))</f>
        <v>0</v>
      </c>
      <c r="H178" s="28" t="str">
        <f>IF(TournamentData[[#This Row],[Team Name]]="","",_xlfn.XLOOKUP(TournamentData[[#This Row],[Team Name]],RobotGameScores[Team Name],RobotGameScores[Match 6 Score],0,0,))</f>
        <v/>
      </c>
      <c r="I178" s="28">
        <v>0</v>
      </c>
      <c r="J178" s="28">
        <f>SUM(TournamentData[[#This Row],[Match Score 1]:[Match Score 6]])/NumberOfRounds</f>
        <v>0</v>
      </c>
      <c r="K178" s="60">
        <f>IF(TournamentData[[#This Row],[Team Number]]="","",1+COUNTIFS($J$3:$J$201,"&gt;"&amp;J178)+COUNTIFS($J$3:$J$201,J178,$I$3:$I$201,"&gt;"&amp;I178))</f>
        <v>9</v>
      </c>
      <c r="L178" s="28">
        <f>IF(TournamentData[[#This Row],[Team Number]]="","",_xlfn.XLOOKUP(TournamentData[[#This Row],[Team Number]],CoreValuesResults[Team Number],CoreValuesResults[Core Values Rank],NumberOfTeams+1,0,))</f>
        <v>9</v>
      </c>
      <c r="M178" s="28">
        <f>IF(TournamentData[[#This Row],[Team Number]]="","",_xlfn.XLOOKUP(TournamentData[[#This Row],[Team Number]],InnovationProjectResults[Team Number],InnovationProjectResults[Innovation Project Rank],NumberOfTeams+1,0,))</f>
        <v>9</v>
      </c>
      <c r="N178" s="28">
        <f>IF(TournamentData[[#This Row],[Team Number]]="","",_xlfn.XLOOKUP(TournamentData[[#This Row],[Team Number]],RobotDesignResults[Team Number],RobotDesignResults[Engineering Design Rank],NumberOfTeams+1,0,))</f>
        <v>9</v>
      </c>
      <c r="O17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78" s="29">
        <f>IF(TournamentData[[#This Row],[Team Number]]="","",IF(O178,RANK(O178,O$3:O$202,1)-COUNTIF(O$3:O$202,0),NumberOfTeams+1))</f>
        <v>9</v>
      </c>
      <c r="Q178" s="30">
        <f>_xlfn.XLOOKUP(TournamentData[[#This Row],[Team Number]],CoreValuesResults[Team Number],CoreValuesResults[Inspiration Selection],0,0,)</f>
        <v>0</v>
      </c>
      <c r="R178" s="33">
        <f>_xlfn.XLOOKUP(TournamentData[[#This Row],[Team Number]],CoreValuesResults[Team Number],CoreValuesResults[Rising All-Star Selection],0,0,)</f>
        <v>0</v>
      </c>
      <c r="S17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78" s="31"/>
      <c r="U178" s="31"/>
      <c r="V178" s="32"/>
      <c r="W178" s="91">
        <f>_xlfn.XLOOKUP(TournamentData[[#This Row],[Team Number]],CoreValuesResults[Team Number],CoreValuesResults[Core Values Score],0,0,)</f>
        <v>0</v>
      </c>
      <c r="X178" s="91">
        <f>_xlfn.XLOOKUP(TournamentData[[#This Row],[Team Number]],InnovationProjectResults[Team Number],InnovationProjectResults[Innovation Project Score],0,0,)</f>
        <v>0</v>
      </c>
      <c r="Y178" s="91">
        <f>_xlfn.XLOOKUP(TournamentData[[#This Row],[Team Number]],RobotDesignResults[Team Number],RobotDesignResults[Engineering Design Score],0,0,)</f>
        <v>0</v>
      </c>
      <c r="Z17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78" s="31">
        <f t="shared" si="5"/>
        <v>8</v>
      </c>
      <c r="AB178" s="31"/>
    </row>
    <row r="179" spans="1:28" ht="21" customHeight="1" x14ac:dyDescent="0.25">
      <c r="A179">
        <f>_xlfn.XLOOKUP(177,OfficialTeamList[Row],OfficialTeamList[Team Number],"ERROR",0)</f>
        <v>0</v>
      </c>
      <c r="B179" s="27" t="str">
        <f>_xlfn.XLOOKUP(TournamentData[[#This Row],[Team Number]],OfficialTeamList[Team Number],OfficialTeamList[Team Name],"",0,)</f>
        <v/>
      </c>
      <c r="C179" s="28">
        <f>IF(TournamentData[[#This Row],[Team Number]]="","",_xlfn.XLOOKUP(TournamentData[[#This Row],[Team Number]],RobotGameScores[Team Number],RobotGameScores[Match 1 Score],0,0,))</f>
        <v>0</v>
      </c>
      <c r="D179" s="28">
        <f>IF(TournamentData[[#This Row],[Team Number]]="","",_xlfn.XLOOKUP(TournamentData[[#This Row],[Team Number]],RobotGameScores[Team Number],RobotGameScores[Match 2 Score],0,0,))</f>
        <v>0</v>
      </c>
      <c r="E179" s="28">
        <f>IF(TournamentData[[#This Row],[Team Number]]="","",_xlfn.XLOOKUP(TournamentData[[#This Row],[Team Number]],RobotGameScores[Team Number],RobotGameScores[Match 3 Score],0,0,))</f>
        <v>0</v>
      </c>
      <c r="F179" s="28">
        <f>IF(TournamentData[[#This Row],[Team Number]]="","",_xlfn.XLOOKUP(TournamentData[[#This Row],[Team Number]],RobotGameScores[Team Number],RobotGameScores[Match 4 Score],0,0,))</f>
        <v>0</v>
      </c>
      <c r="G179" s="28">
        <f>IF(TournamentData[[#This Row],[Team Number]]="","",_xlfn.XLOOKUP(TournamentData[[#This Row],[Team Number]],RobotGameScores[Team Number],RobotGameScores[Match 5 Score],0,0,))</f>
        <v>0</v>
      </c>
      <c r="H179" s="28" t="str">
        <f>IF(TournamentData[[#This Row],[Team Name]]="","",_xlfn.XLOOKUP(TournamentData[[#This Row],[Team Name]],RobotGameScores[Team Name],RobotGameScores[Match 6 Score],0,0,))</f>
        <v/>
      </c>
      <c r="I179" s="28">
        <v>0</v>
      </c>
      <c r="J179" s="28">
        <f>SUM(TournamentData[[#This Row],[Match Score 1]:[Match Score 6]])/NumberOfRounds</f>
        <v>0</v>
      </c>
      <c r="K179" s="59">
        <f>IF(TournamentData[[#This Row],[Team Number]]="","",1+COUNTIFS($J$3:$J$201,"&gt;"&amp;J179)+COUNTIFS($J$3:$J$201,J179,$I$3:$I$201,"&gt;"&amp;I179))</f>
        <v>9</v>
      </c>
      <c r="L179" s="28">
        <f>IF(TournamentData[[#This Row],[Team Number]]="","",_xlfn.XLOOKUP(TournamentData[[#This Row],[Team Number]],CoreValuesResults[Team Number],CoreValuesResults[Core Values Rank],NumberOfTeams+1,0,))</f>
        <v>9</v>
      </c>
      <c r="M179" s="28">
        <f>IF(TournamentData[[#This Row],[Team Number]]="","",_xlfn.XLOOKUP(TournamentData[[#This Row],[Team Number]],InnovationProjectResults[Team Number],InnovationProjectResults[Innovation Project Rank],NumberOfTeams+1,0,))</f>
        <v>9</v>
      </c>
      <c r="N179" s="28">
        <f>IF(TournamentData[[#This Row],[Team Number]]="","",_xlfn.XLOOKUP(TournamentData[[#This Row],[Team Number]],RobotDesignResults[Team Number],RobotDesignResults[Engineering Design Rank],NumberOfTeams+1,0,))</f>
        <v>9</v>
      </c>
      <c r="O17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79" s="29">
        <f>IF(TournamentData[[#This Row],[Team Number]]="","",IF(O179,RANK(O179,O$3:O$202,1)-COUNTIF(O$3:O$202,0),NumberOfTeams+1))</f>
        <v>9</v>
      </c>
      <c r="Q179" s="30">
        <f>_xlfn.XLOOKUP(TournamentData[[#This Row],[Team Number]],CoreValuesResults[Team Number],CoreValuesResults[Inspiration Selection],0,0,)</f>
        <v>0</v>
      </c>
      <c r="R179" s="33">
        <f>_xlfn.XLOOKUP(TournamentData[[#This Row],[Team Number]],CoreValuesResults[Team Number],CoreValuesResults[Rising All-Star Selection],0,0,)</f>
        <v>0</v>
      </c>
      <c r="S17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79" s="31"/>
      <c r="U179" s="31"/>
      <c r="V179" s="32"/>
      <c r="W179" s="91">
        <f>_xlfn.XLOOKUP(TournamentData[[#This Row],[Team Number]],CoreValuesResults[Team Number],CoreValuesResults[Core Values Score],0,0,)</f>
        <v>0</v>
      </c>
      <c r="X179" s="91">
        <f>_xlfn.XLOOKUP(TournamentData[[#This Row],[Team Number]],InnovationProjectResults[Team Number],InnovationProjectResults[Innovation Project Score],0,0,)</f>
        <v>0</v>
      </c>
      <c r="Y179" s="91">
        <f>_xlfn.XLOOKUP(TournamentData[[#This Row],[Team Number]],RobotDesignResults[Team Number],RobotDesignResults[Engineering Design Score],0,0,)</f>
        <v>0</v>
      </c>
      <c r="Z17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79" s="31">
        <f t="shared" si="5"/>
        <v>8</v>
      </c>
      <c r="AB179" s="31"/>
    </row>
    <row r="180" spans="1:28" ht="21" customHeight="1" x14ac:dyDescent="0.25">
      <c r="A180">
        <f>_xlfn.XLOOKUP(178,OfficialTeamList[Row],OfficialTeamList[Team Number],"ERROR",0)</f>
        <v>0</v>
      </c>
      <c r="B180" s="27" t="str">
        <f>_xlfn.XLOOKUP(TournamentData[[#This Row],[Team Number]],OfficialTeamList[Team Number],OfficialTeamList[Team Name],"",0,)</f>
        <v/>
      </c>
      <c r="C180" s="28">
        <f>IF(TournamentData[[#This Row],[Team Number]]="","",_xlfn.XLOOKUP(TournamentData[[#This Row],[Team Number]],RobotGameScores[Team Number],RobotGameScores[Match 1 Score],0,0,))</f>
        <v>0</v>
      </c>
      <c r="D180" s="28">
        <f>IF(TournamentData[[#This Row],[Team Number]]="","",_xlfn.XLOOKUP(TournamentData[[#This Row],[Team Number]],RobotGameScores[Team Number],RobotGameScores[Match 2 Score],0,0,))</f>
        <v>0</v>
      </c>
      <c r="E180" s="28">
        <f>IF(TournamentData[[#This Row],[Team Number]]="","",_xlfn.XLOOKUP(TournamentData[[#This Row],[Team Number]],RobotGameScores[Team Number],RobotGameScores[Match 3 Score],0,0,))</f>
        <v>0</v>
      </c>
      <c r="F180" s="28">
        <f>IF(TournamentData[[#This Row],[Team Number]]="","",_xlfn.XLOOKUP(TournamentData[[#This Row],[Team Number]],RobotGameScores[Team Number],RobotGameScores[Match 4 Score],0,0,))</f>
        <v>0</v>
      </c>
      <c r="G180" s="28">
        <f>IF(TournamentData[[#This Row],[Team Number]]="","",_xlfn.XLOOKUP(TournamentData[[#This Row],[Team Number]],RobotGameScores[Team Number],RobotGameScores[Match 5 Score],0,0,))</f>
        <v>0</v>
      </c>
      <c r="H180" s="28" t="str">
        <f>IF(TournamentData[[#This Row],[Team Name]]="","",_xlfn.XLOOKUP(TournamentData[[#This Row],[Team Name]],RobotGameScores[Team Name],RobotGameScores[Match 6 Score],0,0,))</f>
        <v/>
      </c>
      <c r="I180" s="28">
        <v>0</v>
      </c>
      <c r="J180" s="28">
        <f>SUM(TournamentData[[#This Row],[Match Score 1]:[Match Score 6]])/NumberOfRounds</f>
        <v>0</v>
      </c>
      <c r="K180" s="60">
        <f>IF(TournamentData[[#This Row],[Team Number]]="","",1+COUNTIFS($J$3:$J$201,"&gt;"&amp;J180)+COUNTIFS($J$3:$J$201,J180,$I$3:$I$201,"&gt;"&amp;I180))</f>
        <v>9</v>
      </c>
      <c r="L180" s="28">
        <f>IF(TournamentData[[#This Row],[Team Number]]="","",_xlfn.XLOOKUP(TournamentData[[#This Row],[Team Number]],CoreValuesResults[Team Number],CoreValuesResults[Core Values Rank],NumberOfTeams+1,0,))</f>
        <v>9</v>
      </c>
      <c r="M180" s="28">
        <f>IF(TournamentData[[#This Row],[Team Number]]="","",_xlfn.XLOOKUP(TournamentData[[#This Row],[Team Number]],InnovationProjectResults[Team Number],InnovationProjectResults[Innovation Project Rank],NumberOfTeams+1,0,))</f>
        <v>9</v>
      </c>
      <c r="N180" s="28">
        <f>IF(TournamentData[[#This Row],[Team Number]]="","",_xlfn.XLOOKUP(TournamentData[[#This Row],[Team Number]],RobotDesignResults[Team Number],RobotDesignResults[Engineering Design Rank],NumberOfTeams+1,0,))</f>
        <v>9</v>
      </c>
      <c r="O18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80" s="29">
        <f>IF(TournamentData[[#This Row],[Team Number]]="","",IF(O180,RANK(O180,O$3:O$202,1)-COUNTIF(O$3:O$202,0),NumberOfTeams+1))</f>
        <v>9</v>
      </c>
      <c r="Q180" s="30">
        <f>_xlfn.XLOOKUP(TournamentData[[#This Row],[Team Number]],CoreValuesResults[Team Number],CoreValuesResults[Inspiration Selection],0,0,)</f>
        <v>0</v>
      </c>
      <c r="R180" s="33">
        <f>_xlfn.XLOOKUP(TournamentData[[#This Row],[Team Number]],CoreValuesResults[Team Number],CoreValuesResults[Rising All-Star Selection],0,0,)</f>
        <v>0</v>
      </c>
      <c r="S18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80" s="31"/>
      <c r="U180" s="31"/>
      <c r="V180" s="32"/>
      <c r="W180" s="91">
        <f>_xlfn.XLOOKUP(TournamentData[[#This Row],[Team Number]],CoreValuesResults[Team Number],CoreValuesResults[Core Values Score],0,0,)</f>
        <v>0</v>
      </c>
      <c r="X180" s="91">
        <f>_xlfn.XLOOKUP(TournamentData[[#This Row],[Team Number]],InnovationProjectResults[Team Number],InnovationProjectResults[Innovation Project Score],0,0,)</f>
        <v>0</v>
      </c>
      <c r="Y180" s="91">
        <f>_xlfn.XLOOKUP(TournamentData[[#This Row],[Team Number]],RobotDesignResults[Team Number],RobotDesignResults[Engineering Design Score],0,0,)</f>
        <v>0</v>
      </c>
      <c r="Z18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80" s="31">
        <f t="shared" si="5"/>
        <v>8</v>
      </c>
      <c r="AB180" s="31"/>
    </row>
    <row r="181" spans="1:28" ht="21" customHeight="1" x14ac:dyDescent="0.25">
      <c r="A181">
        <f>_xlfn.XLOOKUP(179,OfficialTeamList[Row],OfficialTeamList[Team Number],"ERROR",0)</f>
        <v>0</v>
      </c>
      <c r="B181" s="27" t="str">
        <f>_xlfn.XLOOKUP(TournamentData[[#This Row],[Team Number]],OfficialTeamList[Team Number],OfficialTeamList[Team Name],"",0,)</f>
        <v/>
      </c>
      <c r="C181" s="28">
        <f>IF(TournamentData[[#This Row],[Team Number]]="","",_xlfn.XLOOKUP(TournamentData[[#This Row],[Team Number]],RobotGameScores[Team Number],RobotGameScores[Match 1 Score],0,0,))</f>
        <v>0</v>
      </c>
      <c r="D181" s="28">
        <f>IF(TournamentData[[#This Row],[Team Number]]="","",_xlfn.XLOOKUP(TournamentData[[#This Row],[Team Number]],RobotGameScores[Team Number],RobotGameScores[Match 2 Score],0,0,))</f>
        <v>0</v>
      </c>
      <c r="E181" s="28">
        <f>IF(TournamentData[[#This Row],[Team Number]]="","",_xlfn.XLOOKUP(TournamentData[[#This Row],[Team Number]],RobotGameScores[Team Number],RobotGameScores[Match 3 Score],0,0,))</f>
        <v>0</v>
      </c>
      <c r="F181" s="28">
        <f>IF(TournamentData[[#This Row],[Team Number]]="","",_xlfn.XLOOKUP(TournamentData[[#This Row],[Team Number]],RobotGameScores[Team Number],RobotGameScores[Match 4 Score],0,0,))</f>
        <v>0</v>
      </c>
      <c r="G181" s="28">
        <f>IF(TournamentData[[#This Row],[Team Number]]="","",_xlfn.XLOOKUP(TournamentData[[#This Row],[Team Number]],RobotGameScores[Team Number],RobotGameScores[Match 5 Score],0,0,))</f>
        <v>0</v>
      </c>
      <c r="H181" s="28" t="str">
        <f>IF(TournamentData[[#This Row],[Team Name]]="","",_xlfn.XLOOKUP(TournamentData[[#This Row],[Team Name]],RobotGameScores[Team Name],RobotGameScores[Match 6 Score],0,0,))</f>
        <v/>
      </c>
      <c r="I181" s="28">
        <v>0</v>
      </c>
      <c r="J181" s="28">
        <f>SUM(TournamentData[[#This Row],[Match Score 1]:[Match Score 6]])/NumberOfRounds</f>
        <v>0</v>
      </c>
      <c r="K181" s="59">
        <f>IF(TournamentData[[#This Row],[Team Number]]="","",1+COUNTIFS($J$3:$J$201,"&gt;"&amp;J181)+COUNTIFS($J$3:$J$201,J181,$I$3:$I$201,"&gt;"&amp;I181))</f>
        <v>9</v>
      </c>
      <c r="L181" s="28">
        <f>IF(TournamentData[[#This Row],[Team Number]]="","",_xlfn.XLOOKUP(TournamentData[[#This Row],[Team Number]],CoreValuesResults[Team Number],CoreValuesResults[Core Values Rank],NumberOfTeams+1,0,))</f>
        <v>9</v>
      </c>
      <c r="M181" s="28">
        <f>IF(TournamentData[[#This Row],[Team Number]]="","",_xlfn.XLOOKUP(TournamentData[[#This Row],[Team Number]],InnovationProjectResults[Team Number],InnovationProjectResults[Innovation Project Rank],NumberOfTeams+1,0,))</f>
        <v>9</v>
      </c>
      <c r="N181" s="28">
        <f>IF(TournamentData[[#This Row],[Team Number]]="","",_xlfn.XLOOKUP(TournamentData[[#This Row],[Team Number]],RobotDesignResults[Team Number],RobotDesignResults[Engineering Design Rank],NumberOfTeams+1,0,))</f>
        <v>9</v>
      </c>
      <c r="O18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81" s="29">
        <f>IF(TournamentData[[#This Row],[Team Number]]="","",IF(O181,RANK(O181,O$3:O$202,1)-COUNTIF(O$3:O$202,0),NumberOfTeams+1))</f>
        <v>9</v>
      </c>
      <c r="Q181" s="30">
        <f>_xlfn.XLOOKUP(TournamentData[[#This Row],[Team Number]],CoreValuesResults[Team Number],CoreValuesResults[Inspiration Selection],0,0,)</f>
        <v>0</v>
      </c>
      <c r="R181" s="33">
        <f>_xlfn.XLOOKUP(TournamentData[[#This Row],[Team Number]],CoreValuesResults[Team Number],CoreValuesResults[Rising All-Star Selection],0,0,)</f>
        <v>0</v>
      </c>
      <c r="S18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81" s="31"/>
      <c r="U181" s="31"/>
      <c r="V181" s="32"/>
      <c r="W181" s="91">
        <f>_xlfn.XLOOKUP(TournamentData[[#This Row],[Team Number]],CoreValuesResults[Team Number],CoreValuesResults[Core Values Score],0,0,)</f>
        <v>0</v>
      </c>
      <c r="X181" s="91">
        <f>_xlfn.XLOOKUP(TournamentData[[#This Row],[Team Number]],InnovationProjectResults[Team Number],InnovationProjectResults[Innovation Project Score],0,0,)</f>
        <v>0</v>
      </c>
      <c r="Y181" s="91">
        <f>_xlfn.XLOOKUP(TournamentData[[#This Row],[Team Number]],RobotDesignResults[Team Number],RobotDesignResults[Engineering Design Score],0,0,)</f>
        <v>0</v>
      </c>
      <c r="Z18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81" s="31">
        <f t="shared" si="5"/>
        <v>8</v>
      </c>
      <c r="AB181" s="31"/>
    </row>
    <row r="182" spans="1:28" ht="21" customHeight="1" x14ac:dyDescent="0.25">
      <c r="A182">
        <f>_xlfn.XLOOKUP(180,OfficialTeamList[Row],OfficialTeamList[Team Number],"ERROR",0)</f>
        <v>0</v>
      </c>
      <c r="B182" s="27" t="str">
        <f>_xlfn.XLOOKUP(TournamentData[[#This Row],[Team Number]],OfficialTeamList[Team Number],OfficialTeamList[Team Name],"",0,)</f>
        <v/>
      </c>
      <c r="C182" s="28">
        <f>IF(TournamentData[[#This Row],[Team Number]]="","",_xlfn.XLOOKUP(TournamentData[[#This Row],[Team Number]],RobotGameScores[Team Number],RobotGameScores[Match 1 Score],0,0,))</f>
        <v>0</v>
      </c>
      <c r="D182" s="28">
        <f>IF(TournamentData[[#This Row],[Team Number]]="","",_xlfn.XLOOKUP(TournamentData[[#This Row],[Team Number]],RobotGameScores[Team Number],RobotGameScores[Match 2 Score],0,0,))</f>
        <v>0</v>
      </c>
      <c r="E182" s="28">
        <f>IF(TournamentData[[#This Row],[Team Number]]="","",_xlfn.XLOOKUP(TournamentData[[#This Row],[Team Number]],RobotGameScores[Team Number],RobotGameScores[Match 3 Score],0,0,))</f>
        <v>0</v>
      </c>
      <c r="F182" s="28">
        <f>IF(TournamentData[[#This Row],[Team Number]]="","",_xlfn.XLOOKUP(TournamentData[[#This Row],[Team Number]],RobotGameScores[Team Number],RobotGameScores[Match 4 Score],0,0,))</f>
        <v>0</v>
      </c>
      <c r="G182" s="28">
        <f>IF(TournamentData[[#This Row],[Team Number]]="","",_xlfn.XLOOKUP(TournamentData[[#This Row],[Team Number]],RobotGameScores[Team Number],RobotGameScores[Match 5 Score],0,0,))</f>
        <v>0</v>
      </c>
      <c r="H182" s="28" t="str">
        <f>IF(TournamentData[[#This Row],[Team Name]]="","",_xlfn.XLOOKUP(TournamentData[[#This Row],[Team Name]],RobotGameScores[Team Name],RobotGameScores[Match 6 Score],0,0,))</f>
        <v/>
      </c>
      <c r="I182" s="28">
        <v>0</v>
      </c>
      <c r="J182" s="28">
        <f>SUM(TournamentData[[#This Row],[Match Score 1]:[Match Score 6]])/NumberOfRounds</f>
        <v>0</v>
      </c>
      <c r="K182" s="60">
        <f>IF(TournamentData[[#This Row],[Team Number]]="","",1+COUNTIFS($J$3:$J$201,"&gt;"&amp;J182)+COUNTIFS($J$3:$J$201,J182,$I$3:$I$201,"&gt;"&amp;I182))</f>
        <v>9</v>
      </c>
      <c r="L182" s="28">
        <f>IF(TournamentData[[#This Row],[Team Number]]="","",_xlfn.XLOOKUP(TournamentData[[#This Row],[Team Number]],CoreValuesResults[Team Number],CoreValuesResults[Core Values Rank],NumberOfTeams+1,0,))</f>
        <v>9</v>
      </c>
      <c r="M182" s="28">
        <f>IF(TournamentData[[#This Row],[Team Number]]="","",_xlfn.XLOOKUP(TournamentData[[#This Row],[Team Number]],InnovationProjectResults[Team Number],InnovationProjectResults[Innovation Project Rank],NumberOfTeams+1,0,))</f>
        <v>9</v>
      </c>
      <c r="N182" s="28">
        <f>IF(TournamentData[[#This Row],[Team Number]]="","",_xlfn.XLOOKUP(TournamentData[[#This Row],[Team Number]],RobotDesignResults[Team Number],RobotDesignResults[Engineering Design Rank],NumberOfTeams+1,0,))</f>
        <v>9</v>
      </c>
      <c r="O18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82" s="29">
        <f>IF(TournamentData[[#This Row],[Team Number]]="","",IF(O182,RANK(O182,O$3:O$202,1)-COUNTIF(O$3:O$202,0),NumberOfTeams+1))</f>
        <v>9</v>
      </c>
      <c r="Q182" s="30">
        <f>_xlfn.XLOOKUP(TournamentData[[#This Row],[Team Number]],CoreValuesResults[Team Number],CoreValuesResults[Inspiration Selection],0,0,)</f>
        <v>0</v>
      </c>
      <c r="R182" s="33">
        <f>_xlfn.XLOOKUP(TournamentData[[#This Row],[Team Number]],CoreValuesResults[Team Number],CoreValuesResults[Rising All-Star Selection],0,0,)</f>
        <v>0</v>
      </c>
      <c r="S18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82" s="31"/>
      <c r="U182" s="31"/>
      <c r="V182" s="32"/>
      <c r="W182" s="91">
        <f>_xlfn.XLOOKUP(TournamentData[[#This Row],[Team Number]],CoreValuesResults[Team Number],CoreValuesResults[Core Values Score],0,0,)</f>
        <v>0</v>
      </c>
      <c r="X182" s="91">
        <f>_xlfn.XLOOKUP(TournamentData[[#This Row],[Team Number]],InnovationProjectResults[Team Number],InnovationProjectResults[Innovation Project Score],0,0,)</f>
        <v>0</v>
      </c>
      <c r="Y182" s="91">
        <f>_xlfn.XLOOKUP(TournamentData[[#This Row],[Team Number]],RobotDesignResults[Team Number],RobotDesignResults[Engineering Design Score],0,0,)</f>
        <v>0</v>
      </c>
      <c r="Z18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82" s="31">
        <f t="shared" si="5"/>
        <v>8</v>
      </c>
      <c r="AB182" s="31"/>
    </row>
    <row r="183" spans="1:28" ht="21" customHeight="1" x14ac:dyDescent="0.25">
      <c r="A183">
        <f>_xlfn.XLOOKUP(181,OfficialTeamList[Row],OfficialTeamList[Team Number],"ERROR",0)</f>
        <v>0</v>
      </c>
      <c r="B183" s="27" t="str">
        <f>_xlfn.XLOOKUP(TournamentData[[#This Row],[Team Number]],OfficialTeamList[Team Number],OfficialTeamList[Team Name],"",0,)</f>
        <v/>
      </c>
      <c r="C183" s="28">
        <f>IF(TournamentData[[#This Row],[Team Number]]="","",_xlfn.XLOOKUP(TournamentData[[#This Row],[Team Number]],RobotGameScores[Team Number],RobotGameScores[Match 1 Score],0,0,))</f>
        <v>0</v>
      </c>
      <c r="D183" s="28">
        <f>IF(TournamentData[[#This Row],[Team Number]]="","",_xlfn.XLOOKUP(TournamentData[[#This Row],[Team Number]],RobotGameScores[Team Number],RobotGameScores[Match 2 Score],0,0,))</f>
        <v>0</v>
      </c>
      <c r="E183" s="28">
        <f>IF(TournamentData[[#This Row],[Team Number]]="","",_xlfn.XLOOKUP(TournamentData[[#This Row],[Team Number]],RobotGameScores[Team Number],RobotGameScores[Match 3 Score],0,0,))</f>
        <v>0</v>
      </c>
      <c r="F183" s="28">
        <f>IF(TournamentData[[#This Row],[Team Number]]="","",_xlfn.XLOOKUP(TournamentData[[#This Row],[Team Number]],RobotGameScores[Team Number],RobotGameScores[Match 4 Score],0,0,))</f>
        <v>0</v>
      </c>
      <c r="G183" s="28">
        <f>IF(TournamentData[[#This Row],[Team Number]]="","",_xlfn.XLOOKUP(TournamentData[[#This Row],[Team Number]],RobotGameScores[Team Number],RobotGameScores[Match 5 Score],0,0,))</f>
        <v>0</v>
      </c>
      <c r="H183" s="28" t="str">
        <f>IF(TournamentData[[#This Row],[Team Name]]="","",_xlfn.XLOOKUP(TournamentData[[#This Row],[Team Name]],RobotGameScores[Team Name],RobotGameScores[Match 6 Score],0,0,))</f>
        <v/>
      </c>
      <c r="I183" s="28">
        <v>0</v>
      </c>
      <c r="J183" s="28">
        <f>SUM(TournamentData[[#This Row],[Match Score 1]:[Match Score 6]])/NumberOfRounds</f>
        <v>0</v>
      </c>
      <c r="K183" s="59">
        <f>IF(TournamentData[[#This Row],[Team Number]]="","",1+COUNTIFS($J$3:$J$201,"&gt;"&amp;J183)+COUNTIFS($J$3:$J$201,J183,$I$3:$I$201,"&gt;"&amp;I183))</f>
        <v>9</v>
      </c>
      <c r="L183" s="28">
        <f>IF(TournamentData[[#This Row],[Team Number]]="","",_xlfn.XLOOKUP(TournamentData[[#This Row],[Team Number]],CoreValuesResults[Team Number],CoreValuesResults[Core Values Rank],NumberOfTeams+1,0,))</f>
        <v>9</v>
      </c>
      <c r="M183" s="28">
        <f>IF(TournamentData[[#This Row],[Team Number]]="","",_xlfn.XLOOKUP(TournamentData[[#This Row],[Team Number]],InnovationProjectResults[Team Number],InnovationProjectResults[Innovation Project Rank],NumberOfTeams+1,0,))</f>
        <v>9</v>
      </c>
      <c r="N183" s="28">
        <f>IF(TournamentData[[#This Row],[Team Number]]="","",_xlfn.XLOOKUP(TournamentData[[#This Row],[Team Number]],RobotDesignResults[Team Number],RobotDesignResults[Engineering Design Rank],NumberOfTeams+1,0,))</f>
        <v>9</v>
      </c>
      <c r="O18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83" s="29">
        <f>IF(TournamentData[[#This Row],[Team Number]]="","",IF(O183,RANK(O183,O$3:O$202,1)-COUNTIF(O$3:O$202,0),NumberOfTeams+1))</f>
        <v>9</v>
      </c>
      <c r="Q183" s="30">
        <f>_xlfn.XLOOKUP(TournamentData[[#This Row],[Team Number]],CoreValuesResults[Team Number],CoreValuesResults[Inspiration Selection],0,0,)</f>
        <v>0</v>
      </c>
      <c r="R183" s="33">
        <f>_xlfn.XLOOKUP(TournamentData[[#This Row],[Team Number]],CoreValuesResults[Team Number],CoreValuesResults[Rising All-Star Selection],0,0,)</f>
        <v>0</v>
      </c>
      <c r="S18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83" s="31"/>
      <c r="U183" s="31"/>
      <c r="V183" s="32"/>
      <c r="W183" s="91">
        <f>_xlfn.XLOOKUP(TournamentData[[#This Row],[Team Number]],CoreValuesResults[Team Number],CoreValuesResults[Core Values Score],0,0,)</f>
        <v>0</v>
      </c>
      <c r="X183" s="91">
        <f>_xlfn.XLOOKUP(TournamentData[[#This Row],[Team Number]],InnovationProjectResults[Team Number],InnovationProjectResults[Innovation Project Score],0,0,)</f>
        <v>0</v>
      </c>
      <c r="Y183" s="91">
        <f>_xlfn.XLOOKUP(TournamentData[[#This Row],[Team Number]],RobotDesignResults[Team Number],RobotDesignResults[Engineering Design Score],0,0,)</f>
        <v>0</v>
      </c>
      <c r="Z18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83" s="31">
        <f t="shared" si="5"/>
        <v>8</v>
      </c>
      <c r="AB183" s="31"/>
    </row>
    <row r="184" spans="1:28" ht="21" customHeight="1" x14ac:dyDescent="0.25">
      <c r="A184">
        <f>_xlfn.XLOOKUP(182,OfficialTeamList[Row],OfficialTeamList[Team Number],"ERROR",0)</f>
        <v>0</v>
      </c>
      <c r="B184" s="27" t="str">
        <f>_xlfn.XLOOKUP(TournamentData[[#This Row],[Team Number]],OfficialTeamList[Team Number],OfficialTeamList[Team Name],"",0,)</f>
        <v/>
      </c>
      <c r="C184" s="28">
        <f>IF(TournamentData[[#This Row],[Team Number]]="","",_xlfn.XLOOKUP(TournamentData[[#This Row],[Team Number]],RobotGameScores[Team Number],RobotGameScores[Match 1 Score],0,0,))</f>
        <v>0</v>
      </c>
      <c r="D184" s="28">
        <f>IF(TournamentData[[#This Row],[Team Number]]="","",_xlfn.XLOOKUP(TournamentData[[#This Row],[Team Number]],RobotGameScores[Team Number],RobotGameScores[Match 2 Score],0,0,))</f>
        <v>0</v>
      </c>
      <c r="E184" s="28">
        <f>IF(TournamentData[[#This Row],[Team Number]]="","",_xlfn.XLOOKUP(TournamentData[[#This Row],[Team Number]],RobotGameScores[Team Number],RobotGameScores[Match 3 Score],0,0,))</f>
        <v>0</v>
      </c>
      <c r="F184" s="28">
        <f>IF(TournamentData[[#This Row],[Team Number]]="","",_xlfn.XLOOKUP(TournamentData[[#This Row],[Team Number]],RobotGameScores[Team Number],RobotGameScores[Match 4 Score],0,0,))</f>
        <v>0</v>
      </c>
      <c r="G184" s="28">
        <f>IF(TournamentData[[#This Row],[Team Number]]="","",_xlfn.XLOOKUP(TournamentData[[#This Row],[Team Number]],RobotGameScores[Team Number],RobotGameScores[Match 5 Score],0,0,))</f>
        <v>0</v>
      </c>
      <c r="H184" s="28" t="str">
        <f>IF(TournamentData[[#This Row],[Team Name]]="","",_xlfn.XLOOKUP(TournamentData[[#This Row],[Team Name]],RobotGameScores[Team Name],RobotGameScores[Match 6 Score],0,0,))</f>
        <v/>
      </c>
      <c r="I184" s="28">
        <v>0</v>
      </c>
      <c r="J184" s="28">
        <f>SUM(TournamentData[[#This Row],[Match Score 1]:[Match Score 6]])/NumberOfRounds</f>
        <v>0</v>
      </c>
      <c r="K184" s="60">
        <f>IF(TournamentData[[#This Row],[Team Number]]="","",1+COUNTIFS($J$3:$J$201,"&gt;"&amp;J184)+COUNTIFS($J$3:$J$201,J184,$I$3:$I$201,"&gt;"&amp;I184))</f>
        <v>9</v>
      </c>
      <c r="L184" s="28">
        <f>IF(TournamentData[[#This Row],[Team Number]]="","",_xlfn.XLOOKUP(TournamentData[[#This Row],[Team Number]],CoreValuesResults[Team Number],CoreValuesResults[Core Values Rank],NumberOfTeams+1,0,))</f>
        <v>9</v>
      </c>
      <c r="M184" s="28">
        <f>IF(TournamentData[[#This Row],[Team Number]]="","",_xlfn.XLOOKUP(TournamentData[[#This Row],[Team Number]],InnovationProjectResults[Team Number],InnovationProjectResults[Innovation Project Rank],NumberOfTeams+1,0,))</f>
        <v>9</v>
      </c>
      <c r="N184" s="28">
        <f>IF(TournamentData[[#This Row],[Team Number]]="","",_xlfn.XLOOKUP(TournamentData[[#This Row],[Team Number]],RobotDesignResults[Team Number],RobotDesignResults[Engineering Design Rank],NumberOfTeams+1,0,))</f>
        <v>9</v>
      </c>
      <c r="O18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84" s="29">
        <f>IF(TournamentData[[#This Row],[Team Number]]="","",IF(O184,RANK(O184,O$3:O$202,1)-COUNTIF(O$3:O$202,0),NumberOfTeams+1))</f>
        <v>9</v>
      </c>
      <c r="Q184" s="30">
        <f>_xlfn.XLOOKUP(TournamentData[[#This Row],[Team Number]],CoreValuesResults[Team Number],CoreValuesResults[Inspiration Selection],0,0,)</f>
        <v>0</v>
      </c>
      <c r="R184" s="33">
        <f>_xlfn.XLOOKUP(TournamentData[[#This Row],[Team Number]],CoreValuesResults[Team Number],CoreValuesResults[Rising All-Star Selection],0,0,)</f>
        <v>0</v>
      </c>
      <c r="S18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84" s="31"/>
      <c r="U184" s="31"/>
      <c r="V184" s="32"/>
      <c r="W184" s="91">
        <f>_xlfn.XLOOKUP(TournamentData[[#This Row],[Team Number]],CoreValuesResults[Team Number],CoreValuesResults[Core Values Score],0,0,)</f>
        <v>0</v>
      </c>
      <c r="X184" s="91">
        <f>_xlfn.XLOOKUP(TournamentData[[#This Row],[Team Number]],InnovationProjectResults[Team Number],InnovationProjectResults[Innovation Project Score],0,0,)</f>
        <v>0</v>
      </c>
      <c r="Y184" s="91">
        <f>_xlfn.XLOOKUP(TournamentData[[#This Row],[Team Number]],RobotDesignResults[Team Number],RobotDesignResults[Engineering Design Score],0,0,)</f>
        <v>0</v>
      </c>
      <c r="Z18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84" s="31">
        <f t="shared" si="5"/>
        <v>8</v>
      </c>
      <c r="AB184" s="31"/>
    </row>
    <row r="185" spans="1:28" ht="21" customHeight="1" x14ac:dyDescent="0.25">
      <c r="A185">
        <f>_xlfn.XLOOKUP(183,OfficialTeamList[Row],OfficialTeamList[Team Number],"ERROR",0)</f>
        <v>0</v>
      </c>
      <c r="B185" s="27" t="str">
        <f>_xlfn.XLOOKUP(TournamentData[[#This Row],[Team Number]],OfficialTeamList[Team Number],OfficialTeamList[Team Name],"",0,)</f>
        <v/>
      </c>
      <c r="C185" s="28">
        <f>IF(TournamentData[[#This Row],[Team Number]]="","",_xlfn.XLOOKUP(TournamentData[[#This Row],[Team Number]],RobotGameScores[Team Number],RobotGameScores[Match 1 Score],0,0,))</f>
        <v>0</v>
      </c>
      <c r="D185" s="28">
        <f>IF(TournamentData[[#This Row],[Team Number]]="","",_xlfn.XLOOKUP(TournamentData[[#This Row],[Team Number]],RobotGameScores[Team Number],RobotGameScores[Match 2 Score],0,0,))</f>
        <v>0</v>
      </c>
      <c r="E185" s="28">
        <f>IF(TournamentData[[#This Row],[Team Number]]="","",_xlfn.XLOOKUP(TournamentData[[#This Row],[Team Number]],RobotGameScores[Team Number],RobotGameScores[Match 3 Score],0,0,))</f>
        <v>0</v>
      </c>
      <c r="F185" s="28">
        <f>IF(TournamentData[[#This Row],[Team Number]]="","",_xlfn.XLOOKUP(TournamentData[[#This Row],[Team Number]],RobotGameScores[Team Number],RobotGameScores[Match 4 Score],0,0,))</f>
        <v>0</v>
      </c>
      <c r="G185" s="28">
        <f>IF(TournamentData[[#This Row],[Team Number]]="","",_xlfn.XLOOKUP(TournamentData[[#This Row],[Team Number]],RobotGameScores[Team Number],RobotGameScores[Match 5 Score],0,0,))</f>
        <v>0</v>
      </c>
      <c r="H185" s="28" t="str">
        <f>IF(TournamentData[[#This Row],[Team Name]]="","",_xlfn.XLOOKUP(TournamentData[[#This Row],[Team Name]],RobotGameScores[Team Name],RobotGameScores[Match 6 Score],0,0,))</f>
        <v/>
      </c>
      <c r="I185" s="28">
        <v>0</v>
      </c>
      <c r="J185" s="28">
        <f>SUM(TournamentData[[#This Row],[Match Score 1]:[Match Score 6]])/NumberOfRounds</f>
        <v>0</v>
      </c>
      <c r="K185" s="59">
        <f>IF(TournamentData[[#This Row],[Team Number]]="","",1+COUNTIFS($J$3:$J$201,"&gt;"&amp;J185)+COUNTIFS($J$3:$J$201,J185,$I$3:$I$201,"&gt;"&amp;I185))</f>
        <v>9</v>
      </c>
      <c r="L185" s="28">
        <f>IF(TournamentData[[#This Row],[Team Number]]="","",_xlfn.XLOOKUP(TournamentData[[#This Row],[Team Number]],CoreValuesResults[Team Number],CoreValuesResults[Core Values Rank],NumberOfTeams+1,0,))</f>
        <v>9</v>
      </c>
      <c r="M185" s="28">
        <f>IF(TournamentData[[#This Row],[Team Number]]="","",_xlfn.XLOOKUP(TournamentData[[#This Row],[Team Number]],InnovationProjectResults[Team Number],InnovationProjectResults[Innovation Project Rank],NumberOfTeams+1,0,))</f>
        <v>9</v>
      </c>
      <c r="N185" s="28">
        <f>IF(TournamentData[[#This Row],[Team Number]]="","",_xlfn.XLOOKUP(TournamentData[[#This Row],[Team Number]],RobotDesignResults[Team Number],RobotDesignResults[Engineering Design Rank],NumberOfTeams+1,0,))</f>
        <v>9</v>
      </c>
      <c r="O18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85" s="29">
        <f>IF(TournamentData[[#This Row],[Team Number]]="","",IF(O185,RANK(O185,O$3:O$202,1)-COUNTIF(O$3:O$202,0),NumberOfTeams+1))</f>
        <v>9</v>
      </c>
      <c r="Q185" s="30">
        <f>_xlfn.XLOOKUP(TournamentData[[#This Row],[Team Number]],CoreValuesResults[Team Number],CoreValuesResults[Inspiration Selection],0,0,)</f>
        <v>0</v>
      </c>
      <c r="R185" s="33">
        <f>_xlfn.XLOOKUP(TournamentData[[#This Row],[Team Number]],CoreValuesResults[Team Number],CoreValuesResults[Rising All-Star Selection],0,0,)</f>
        <v>0</v>
      </c>
      <c r="S18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85" s="31"/>
      <c r="U185" s="31"/>
      <c r="V185" s="32"/>
      <c r="W185" s="91">
        <f>_xlfn.XLOOKUP(TournamentData[[#This Row],[Team Number]],CoreValuesResults[Team Number],CoreValuesResults[Core Values Score],0,0,)</f>
        <v>0</v>
      </c>
      <c r="X185" s="91">
        <f>_xlfn.XLOOKUP(TournamentData[[#This Row],[Team Number]],InnovationProjectResults[Team Number],InnovationProjectResults[Innovation Project Score],0,0,)</f>
        <v>0</v>
      </c>
      <c r="Y185" s="91">
        <f>_xlfn.XLOOKUP(TournamentData[[#This Row],[Team Number]],RobotDesignResults[Team Number],RobotDesignResults[Engineering Design Score],0,0,)</f>
        <v>0</v>
      </c>
      <c r="Z18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85" s="31">
        <f t="shared" si="5"/>
        <v>8</v>
      </c>
      <c r="AB185" s="31"/>
    </row>
    <row r="186" spans="1:28" ht="21" customHeight="1" x14ac:dyDescent="0.25">
      <c r="A186">
        <f>_xlfn.XLOOKUP(184,OfficialTeamList[Row],OfficialTeamList[Team Number],"ERROR",0)</f>
        <v>0</v>
      </c>
      <c r="B186" s="27" t="str">
        <f>_xlfn.XLOOKUP(TournamentData[[#This Row],[Team Number]],OfficialTeamList[Team Number],OfficialTeamList[Team Name],"",0,)</f>
        <v/>
      </c>
      <c r="C186" s="28">
        <f>IF(TournamentData[[#This Row],[Team Number]]="","",_xlfn.XLOOKUP(TournamentData[[#This Row],[Team Number]],RobotGameScores[Team Number],RobotGameScores[Match 1 Score],0,0,))</f>
        <v>0</v>
      </c>
      <c r="D186" s="28">
        <f>IF(TournamentData[[#This Row],[Team Number]]="","",_xlfn.XLOOKUP(TournamentData[[#This Row],[Team Number]],RobotGameScores[Team Number],RobotGameScores[Match 2 Score],0,0,))</f>
        <v>0</v>
      </c>
      <c r="E186" s="28">
        <f>IF(TournamentData[[#This Row],[Team Number]]="","",_xlfn.XLOOKUP(TournamentData[[#This Row],[Team Number]],RobotGameScores[Team Number],RobotGameScores[Match 3 Score],0,0,))</f>
        <v>0</v>
      </c>
      <c r="F186" s="28">
        <f>IF(TournamentData[[#This Row],[Team Number]]="","",_xlfn.XLOOKUP(TournamentData[[#This Row],[Team Number]],RobotGameScores[Team Number],RobotGameScores[Match 4 Score],0,0,))</f>
        <v>0</v>
      </c>
      <c r="G186" s="28">
        <f>IF(TournamentData[[#This Row],[Team Number]]="","",_xlfn.XLOOKUP(TournamentData[[#This Row],[Team Number]],RobotGameScores[Team Number],RobotGameScores[Match 5 Score],0,0,))</f>
        <v>0</v>
      </c>
      <c r="H186" s="28" t="str">
        <f>IF(TournamentData[[#This Row],[Team Name]]="","",_xlfn.XLOOKUP(TournamentData[[#This Row],[Team Name]],RobotGameScores[Team Name],RobotGameScores[Match 6 Score],0,0,))</f>
        <v/>
      </c>
      <c r="I186" s="28">
        <v>0</v>
      </c>
      <c r="J186" s="28">
        <f>SUM(TournamentData[[#This Row],[Match Score 1]:[Match Score 6]])/NumberOfRounds</f>
        <v>0</v>
      </c>
      <c r="K186" s="60">
        <f>IF(TournamentData[[#This Row],[Team Number]]="","",1+COUNTIFS($J$3:$J$201,"&gt;"&amp;J186)+COUNTIFS($J$3:$J$201,J186,$I$3:$I$201,"&gt;"&amp;I186))</f>
        <v>9</v>
      </c>
      <c r="L186" s="28">
        <f>IF(TournamentData[[#This Row],[Team Number]]="","",_xlfn.XLOOKUP(TournamentData[[#This Row],[Team Number]],CoreValuesResults[Team Number],CoreValuesResults[Core Values Rank],NumberOfTeams+1,0,))</f>
        <v>9</v>
      </c>
      <c r="M186" s="28">
        <f>IF(TournamentData[[#This Row],[Team Number]]="","",_xlfn.XLOOKUP(TournamentData[[#This Row],[Team Number]],InnovationProjectResults[Team Number],InnovationProjectResults[Innovation Project Rank],NumberOfTeams+1,0,))</f>
        <v>9</v>
      </c>
      <c r="N186" s="28">
        <f>IF(TournamentData[[#This Row],[Team Number]]="","",_xlfn.XLOOKUP(TournamentData[[#This Row],[Team Number]],RobotDesignResults[Team Number],RobotDesignResults[Engineering Design Rank],NumberOfTeams+1,0,))</f>
        <v>9</v>
      </c>
      <c r="O18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86" s="29">
        <f>IF(TournamentData[[#This Row],[Team Number]]="","",IF(O186,RANK(O186,O$3:O$202,1)-COUNTIF(O$3:O$202,0),NumberOfTeams+1))</f>
        <v>9</v>
      </c>
      <c r="Q186" s="30">
        <f>_xlfn.XLOOKUP(TournamentData[[#This Row],[Team Number]],CoreValuesResults[Team Number],CoreValuesResults[Inspiration Selection],0,0,)</f>
        <v>0</v>
      </c>
      <c r="R186" s="33">
        <f>_xlfn.XLOOKUP(TournamentData[[#This Row],[Team Number]],CoreValuesResults[Team Number],CoreValuesResults[Rising All-Star Selection],0,0,)</f>
        <v>0</v>
      </c>
      <c r="S18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86" s="31"/>
      <c r="U186" s="31"/>
      <c r="V186" s="32"/>
      <c r="W186" s="91">
        <f>_xlfn.XLOOKUP(TournamentData[[#This Row],[Team Number]],CoreValuesResults[Team Number],CoreValuesResults[Core Values Score],0,0,)</f>
        <v>0</v>
      </c>
      <c r="X186" s="91">
        <f>_xlfn.XLOOKUP(TournamentData[[#This Row],[Team Number]],InnovationProjectResults[Team Number],InnovationProjectResults[Innovation Project Score],0,0,)</f>
        <v>0</v>
      </c>
      <c r="Y186" s="91">
        <f>_xlfn.XLOOKUP(TournamentData[[#This Row],[Team Number]],RobotDesignResults[Team Number],RobotDesignResults[Engineering Design Score],0,0,)</f>
        <v>0</v>
      </c>
      <c r="Z18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86" s="31">
        <f t="shared" si="5"/>
        <v>8</v>
      </c>
      <c r="AB186" s="31"/>
    </row>
    <row r="187" spans="1:28" ht="21" customHeight="1" x14ac:dyDescent="0.25">
      <c r="A187">
        <f>_xlfn.XLOOKUP(185,OfficialTeamList[Row],OfficialTeamList[Team Number],"ERROR",0)</f>
        <v>0</v>
      </c>
      <c r="B187" s="27" t="str">
        <f>_xlfn.XLOOKUP(TournamentData[[#This Row],[Team Number]],OfficialTeamList[Team Number],OfficialTeamList[Team Name],"",0,)</f>
        <v/>
      </c>
      <c r="C187" s="28">
        <f>IF(TournamentData[[#This Row],[Team Number]]="","",_xlfn.XLOOKUP(TournamentData[[#This Row],[Team Number]],RobotGameScores[Team Number],RobotGameScores[Match 1 Score],0,0,))</f>
        <v>0</v>
      </c>
      <c r="D187" s="28">
        <f>IF(TournamentData[[#This Row],[Team Number]]="","",_xlfn.XLOOKUP(TournamentData[[#This Row],[Team Number]],RobotGameScores[Team Number],RobotGameScores[Match 2 Score],0,0,))</f>
        <v>0</v>
      </c>
      <c r="E187" s="28">
        <f>IF(TournamentData[[#This Row],[Team Number]]="","",_xlfn.XLOOKUP(TournamentData[[#This Row],[Team Number]],RobotGameScores[Team Number],RobotGameScores[Match 3 Score],0,0,))</f>
        <v>0</v>
      </c>
      <c r="F187" s="28">
        <f>IF(TournamentData[[#This Row],[Team Number]]="","",_xlfn.XLOOKUP(TournamentData[[#This Row],[Team Number]],RobotGameScores[Team Number],RobotGameScores[Match 4 Score],0,0,))</f>
        <v>0</v>
      </c>
      <c r="G187" s="28">
        <f>IF(TournamentData[[#This Row],[Team Number]]="","",_xlfn.XLOOKUP(TournamentData[[#This Row],[Team Number]],RobotGameScores[Team Number],RobotGameScores[Match 5 Score],0,0,))</f>
        <v>0</v>
      </c>
      <c r="H187" s="28" t="str">
        <f>IF(TournamentData[[#This Row],[Team Name]]="","",_xlfn.XLOOKUP(TournamentData[[#This Row],[Team Name]],RobotGameScores[Team Name],RobotGameScores[Match 6 Score],0,0,))</f>
        <v/>
      </c>
      <c r="I187" s="28">
        <v>0</v>
      </c>
      <c r="J187" s="28">
        <f>SUM(TournamentData[[#This Row],[Match Score 1]:[Match Score 6]])/NumberOfRounds</f>
        <v>0</v>
      </c>
      <c r="K187" s="59">
        <f>IF(TournamentData[[#This Row],[Team Number]]="","",1+COUNTIFS($J$3:$J$201,"&gt;"&amp;J187)+COUNTIFS($J$3:$J$201,J187,$I$3:$I$201,"&gt;"&amp;I187))</f>
        <v>9</v>
      </c>
      <c r="L187" s="28">
        <f>IF(TournamentData[[#This Row],[Team Number]]="","",_xlfn.XLOOKUP(TournamentData[[#This Row],[Team Number]],CoreValuesResults[Team Number],CoreValuesResults[Core Values Rank],NumberOfTeams+1,0,))</f>
        <v>9</v>
      </c>
      <c r="M187" s="28">
        <f>IF(TournamentData[[#This Row],[Team Number]]="","",_xlfn.XLOOKUP(TournamentData[[#This Row],[Team Number]],InnovationProjectResults[Team Number],InnovationProjectResults[Innovation Project Rank],NumberOfTeams+1,0,))</f>
        <v>9</v>
      </c>
      <c r="N187" s="28">
        <f>IF(TournamentData[[#This Row],[Team Number]]="","",_xlfn.XLOOKUP(TournamentData[[#This Row],[Team Number]],RobotDesignResults[Team Number],RobotDesignResults[Engineering Design Rank],NumberOfTeams+1,0,))</f>
        <v>9</v>
      </c>
      <c r="O18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87" s="29">
        <f>IF(TournamentData[[#This Row],[Team Number]]="","",IF(O187,RANK(O187,O$3:O$202,1)-COUNTIF(O$3:O$202,0),NumberOfTeams+1))</f>
        <v>9</v>
      </c>
      <c r="Q187" s="30">
        <f>_xlfn.XLOOKUP(TournamentData[[#This Row],[Team Number]],CoreValuesResults[Team Number],CoreValuesResults[Inspiration Selection],0,0,)</f>
        <v>0</v>
      </c>
      <c r="R187" s="33">
        <f>_xlfn.XLOOKUP(TournamentData[[#This Row],[Team Number]],CoreValuesResults[Team Number],CoreValuesResults[Rising All-Star Selection],0,0,)</f>
        <v>0</v>
      </c>
      <c r="S18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87" s="31"/>
      <c r="U187" s="31"/>
      <c r="V187" s="32"/>
      <c r="W187" s="91">
        <f>_xlfn.XLOOKUP(TournamentData[[#This Row],[Team Number]],CoreValuesResults[Team Number],CoreValuesResults[Core Values Score],0,0,)</f>
        <v>0</v>
      </c>
      <c r="X187" s="91">
        <f>_xlfn.XLOOKUP(TournamentData[[#This Row],[Team Number]],InnovationProjectResults[Team Number],InnovationProjectResults[Innovation Project Score],0,0,)</f>
        <v>0</v>
      </c>
      <c r="Y187" s="91">
        <f>_xlfn.XLOOKUP(TournamentData[[#This Row],[Team Number]],RobotDesignResults[Team Number],RobotDesignResults[Engineering Design Score],0,0,)</f>
        <v>0</v>
      </c>
      <c r="Z18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87" s="31">
        <f t="shared" si="5"/>
        <v>8</v>
      </c>
      <c r="AB187" s="31"/>
    </row>
    <row r="188" spans="1:28" ht="21" customHeight="1" x14ac:dyDescent="0.25">
      <c r="A188">
        <f>_xlfn.XLOOKUP(186,OfficialTeamList[Row],OfficialTeamList[Team Number],"ERROR",0)</f>
        <v>0</v>
      </c>
      <c r="B188" s="27" t="str">
        <f>_xlfn.XLOOKUP(TournamentData[[#This Row],[Team Number]],OfficialTeamList[Team Number],OfficialTeamList[Team Name],"",0,)</f>
        <v/>
      </c>
      <c r="C188" s="28">
        <f>IF(TournamentData[[#This Row],[Team Number]]="","",_xlfn.XLOOKUP(TournamentData[[#This Row],[Team Number]],RobotGameScores[Team Number],RobotGameScores[Match 1 Score],0,0,))</f>
        <v>0</v>
      </c>
      <c r="D188" s="28">
        <f>IF(TournamentData[[#This Row],[Team Number]]="","",_xlfn.XLOOKUP(TournamentData[[#This Row],[Team Number]],RobotGameScores[Team Number],RobotGameScores[Match 2 Score],0,0,))</f>
        <v>0</v>
      </c>
      <c r="E188" s="28">
        <f>IF(TournamentData[[#This Row],[Team Number]]="","",_xlfn.XLOOKUP(TournamentData[[#This Row],[Team Number]],RobotGameScores[Team Number],RobotGameScores[Match 3 Score],0,0,))</f>
        <v>0</v>
      </c>
      <c r="F188" s="28">
        <f>IF(TournamentData[[#This Row],[Team Number]]="","",_xlfn.XLOOKUP(TournamentData[[#This Row],[Team Number]],RobotGameScores[Team Number],RobotGameScores[Match 4 Score],0,0,))</f>
        <v>0</v>
      </c>
      <c r="G188" s="28">
        <f>IF(TournamentData[[#This Row],[Team Number]]="","",_xlfn.XLOOKUP(TournamentData[[#This Row],[Team Number]],RobotGameScores[Team Number],RobotGameScores[Match 5 Score],0,0,))</f>
        <v>0</v>
      </c>
      <c r="H188" s="28" t="str">
        <f>IF(TournamentData[[#This Row],[Team Name]]="","",_xlfn.XLOOKUP(TournamentData[[#This Row],[Team Name]],RobotGameScores[Team Name],RobotGameScores[Match 6 Score],0,0,))</f>
        <v/>
      </c>
      <c r="I188" s="28">
        <v>0</v>
      </c>
      <c r="J188" s="28">
        <f>SUM(TournamentData[[#This Row],[Match Score 1]:[Match Score 6]])/NumberOfRounds</f>
        <v>0</v>
      </c>
      <c r="K188" s="60">
        <f>IF(TournamentData[[#This Row],[Team Number]]="","",1+COUNTIFS($J$3:$J$201,"&gt;"&amp;J188)+COUNTIFS($J$3:$J$201,J188,$I$3:$I$201,"&gt;"&amp;I188))</f>
        <v>9</v>
      </c>
      <c r="L188" s="28">
        <f>IF(TournamentData[[#This Row],[Team Number]]="","",_xlfn.XLOOKUP(TournamentData[[#This Row],[Team Number]],CoreValuesResults[Team Number],CoreValuesResults[Core Values Rank],NumberOfTeams+1,0,))</f>
        <v>9</v>
      </c>
      <c r="M188" s="28">
        <f>IF(TournamentData[[#This Row],[Team Number]]="","",_xlfn.XLOOKUP(TournamentData[[#This Row],[Team Number]],InnovationProjectResults[Team Number],InnovationProjectResults[Innovation Project Rank],NumberOfTeams+1,0,))</f>
        <v>9</v>
      </c>
      <c r="N188" s="28">
        <f>IF(TournamentData[[#This Row],[Team Number]]="","",_xlfn.XLOOKUP(TournamentData[[#This Row],[Team Number]],RobotDesignResults[Team Number],RobotDesignResults[Engineering Design Rank],NumberOfTeams+1,0,))</f>
        <v>9</v>
      </c>
      <c r="O18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88" s="29">
        <f>IF(TournamentData[[#This Row],[Team Number]]="","",IF(O188,RANK(O188,O$3:O$202,1)-COUNTIF(O$3:O$202,0),NumberOfTeams+1))</f>
        <v>9</v>
      </c>
      <c r="Q188" s="30">
        <f>_xlfn.XLOOKUP(TournamentData[[#This Row],[Team Number]],CoreValuesResults[Team Number],CoreValuesResults[Inspiration Selection],0,0,)</f>
        <v>0</v>
      </c>
      <c r="R188" s="33">
        <f>_xlfn.XLOOKUP(TournamentData[[#This Row],[Team Number]],CoreValuesResults[Team Number],CoreValuesResults[Rising All-Star Selection],0,0,)</f>
        <v>0</v>
      </c>
      <c r="S18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88" s="31"/>
      <c r="U188" s="31"/>
      <c r="V188" s="32"/>
      <c r="W188" s="91">
        <f>_xlfn.XLOOKUP(TournamentData[[#This Row],[Team Number]],CoreValuesResults[Team Number],CoreValuesResults[Core Values Score],0,0,)</f>
        <v>0</v>
      </c>
      <c r="X188" s="91">
        <f>_xlfn.XLOOKUP(TournamentData[[#This Row],[Team Number]],InnovationProjectResults[Team Number],InnovationProjectResults[Innovation Project Score],0,0,)</f>
        <v>0</v>
      </c>
      <c r="Y188" s="91">
        <f>_xlfn.XLOOKUP(TournamentData[[#This Row],[Team Number]],RobotDesignResults[Team Number],RobotDesignResults[Engineering Design Score],0,0,)</f>
        <v>0</v>
      </c>
      <c r="Z18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88" s="31">
        <f t="shared" si="5"/>
        <v>8</v>
      </c>
      <c r="AB188" s="31"/>
    </row>
    <row r="189" spans="1:28" ht="21" customHeight="1" x14ac:dyDescent="0.25">
      <c r="A189">
        <f>_xlfn.XLOOKUP(187,OfficialTeamList[Row],OfficialTeamList[Team Number],"ERROR",0)</f>
        <v>0</v>
      </c>
      <c r="B189" s="27" t="str">
        <f>_xlfn.XLOOKUP(TournamentData[[#This Row],[Team Number]],OfficialTeamList[Team Number],OfficialTeamList[Team Name],"",0,)</f>
        <v/>
      </c>
      <c r="C189" s="28">
        <f>IF(TournamentData[[#This Row],[Team Number]]="","",_xlfn.XLOOKUP(TournamentData[[#This Row],[Team Number]],RobotGameScores[Team Number],RobotGameScores[Match 1 Score],0,0,))</f>
        <v>0</v>
      </c>
      <c r="D189" s="28">
        <f>IF(TournamentData[[#This Row],[Team Number]]="","",_xlfn.XLOOKUP(TournamentData[[#This Row],[Team Number]],RobotGameScores[Team Number],RobotGameScores[Match 2 Score],0,0,))</f>
        <v>0</v>
      </c>
      <c r="E189" s="28">
        <f>IF(TournamentData[[#This Row],[Team Number]]="","",_xlfn.XLOOKUP(TournamentData[[#This Row],[Team Number]],RobotGameScores[Team Number],RobotGameScores[Match 3 Score],0,0,))</f>
        <v>0</v>
      </c>
      <c r="F189" s="28">
        <f>IF(TournamentData[[#This Row],[Team Number]]="","",_xlfn.XLOOKUP(TournamentData[[#This Row],[Team Number]],RobotGameScores[Team Number],RobotGameScores[Match 4 Score],0,0,))</f>
        <v>0</v>
      </c>
      <c r="G189" s="28">
        <f>IF(TournamentData[[#This Row],[Team Number]]="","",_xlfn.XLOOKUP(TournamentData[[#This Row],[Team Number]],RobotGameScores[Team Number],RobotGameScores[Match 5 Score],0,0,))</f>
        <v>0</v>
      </c>
      <c r="H189" s="28" t="str">
        <f>IF(TournamentData[[#This Row],[Team Name]]="","",_xlfn.XLOOKUP(TournamentData[[#This Row],[Team Name]],RobotGameScores[Team Name],RobotGameScores[Match 6 Score],0,0,))</f>
        <v/>
      </c>
      <c r="I189" s="28">
        <v>0</v>
      </c>
      <c r="J189" s="28">
        <f>SUM(TournamentData[[#This Row],[Match Score 1]:[Match Score 6]])/NumberOfRounds</f>
        <v>0</v>
      </c>
      <c r="K189" s="59">
        <f>IF(TournamentData[[#This Row],[Team Number]]="","",1+COUNTIFS($J$3:$J$201,"&gt;"&amp;J189)+COUNTIFS($J$3:$J$201,J189,$I$3:$I$201,"&gt;"&amp;I189))</f>
        <v>9</v>
      </c>
      <c r="L189" s="28">
        <f>IF(TournamentData[[#This Row],[Team Number]]="","",_xlfn.XLOOKUP(TournamentData[[#This Row],[Team Number]],CoreValuesResults[Team Number],CoreValuesResults[Core Values Rank],NumberOfTeams+1,0,))</f>
        <v>9</v>
      </c>
      <c r="M189" s="28">
        <f>IF(TournamentData[[#This Row],[Team Number]]="","",_xlfn.XLOOKUP(TournamentData[[#This Row],[Team Number]],InnovationProjectResults[Team Number],InnovationProjectResults[Innovation Project Rank],NumberOfTeams+1,0,))</f>
        <v>9</v>
      </c>
      <c r="N189" s="28">
        <f>IF(TournamentData[[#This Row],[Team Number]]="","",_xlfn.XLOOKUP(TournamentData[[#This Row],[Team Number]],RobotDesignResults[Team Number],RobotDesignResults[Engineering Design Rank],NumberOfTeams+1,0,))</f>
        <v>9</v>
      </c>
      <c r="O18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89" s="29">
        <f>IF(TournamentData[[#This Row],[Team Number]]="","",IF(O189,RANK(O189,O$3:O$202,1)-COUNTIF(O$3:O$202,0),NumberOfTeams+1))</f>
        <v>9</v>
      </c>
      <c r="Q189" s="30">
        <f>_xlfn.XLOOKUP(TournamentData[[#This Row],[Team Number]],CoreValuesResults[Team Number],CoreValuesResults[Inspiration Selection],0,0,)</f>
        <v>0</v>
      </c>
      <c r="R189" s="33">
        <f>_xlfn.XLOOKUP(TournamentData[[#This Row],[Team Number]],CoreValuesResults[Team Number],CoreValuesResults[Rising All-Star Selection],0,0,)</f>
        <v>0</v>
      </c>
      <c r="S18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89" s="31"/>
      <c r="U189" s="31"/>
      <c r="V189" s="32"/>
      <c r="W189" s="91">
        <f>_xlfn.XLOOKUP(TournamentData[[#This Row],[Team Number]],CoreValuesResults[Team Number],CoreValuesResults[Core Values Score],0,0,)</f>
        <v>0</v>
      </c>
      <c r="X189" s="91">
        <f>_xlfn.XLOOKUP(TournamentData[[#This Row],[Team Number]],InnovationProjectResults[Team Number],InnovationProjectResults[Innovation Project Score],0,0,)</f>
        <v>0</v>
      </c>
      <c r="Y189" s="91">
        <f>_xlfn.XLOOKUP(TournamentData[[#This Row],[Team Number]],RobotDesignResults[Team Number],RobotDesignResults[Engineering Design Score],0,0,)</f>
        <v>0</v>
      </c>
      <c r="Z18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89" s="31">
        <f t="shared" si="5"/>
        <v>8</v>
      </c>
      <c r="AB189" s="31"/>
    </row>
    <row r="190" spans="1:28" ht="21" customHeight="1" x14ac:dyDescent="0.25">
      <c r="A190">
        <f>_xlfn.XLOOKUP(188,OfficialTeamList[Row],OfficialTeamList[Team Number],"ERROR",0)</f>
        <v>0</v>
      </c>
      <c r="B190" s="27" t="str">
        <f>_xlfn.XLOOKUP(TournamentData[[#This Row],[Team Number]],OfficialTeamList[Team Number],OfficialTeamList[Team Name],"",0,)</f>
        <v/>
      </c>
      <c r="C190" s="28">
        <f>IF(TournamentData[[#This Row],[Team Number]]="","",_xlfn.XLOOKUP(TournamentData[[#This Row],[Team Number]],RobotGameScores[Team Number],RobotGameScores[Match 1 Score],0,0,))</f>
        <v>0</v>
      </c>
      <c r="D190" s="28">
        <f>IF(TournamentData[[#This Row],[Team Number]]="","",_xlfn.XLOOKUP(TournamentData[[#This Row],[Team Number]],RobotGameScores[Team Number],RobotGameScores[Match 2 Score],0,0,))</f>
        <v>0</v>
      </c>
      <c r="E190" s="28">
        <f>IF(TournamentData[[#This Row],[Team Number]]="","",_xlfn.XLOOKUP(TournamentData[[#This Row],[Team Number]],RobotGameScores[Team Number],RobotGameScores[Match 3 Score],0,0,))</f>
        <v>0</v>
      </c>
      <c r="F190" s="28">
        <f>IF(TournamentData[[#This Row],[Team Number]]="","",_xlfn.XLOOKUP(TournamentData[[#This Row],[Team Number]],RobotGameScores[Team Number],RobotGameScores[Match 4 Score],0,0,))</f>
        <v>0</v>
      </c>
      <c r="G190" s="28">
        <f>IF(TournamentData[[#This Row],[Team Number]]="","",_xlfn.XLOOKUP(TournamentData[[#This Row],[Team Number]],RobotGameScores[Team Number],RobotGameScores[Match 5 Score],0,0,))</f>
        <v>0</v>
      </c>
      <c r="H190" s="28" t="str">
        <f>IF(TournamentData[[#This Row],[Team Name]]="","",_xlfn.XLOOKUP(TournamentData[[#This Row],[Team Name]],RobotGameScores[Team Name],RobotGameScores[Match 6 Score],0,0,))</f>
        <v/>
      </c>
      <c r="I190" s="28">
        <v>0</v>
      </c>
      <c r="J190" s="28">
        <f>SUM(TournamentData[[#This Row],[Match Score 1]:[Match Score 6]])/NumberOfRounds</f>
        <v>0</v>
      </c>
      <c r="K190" s="60">
        <f>IF(TournamentData[[#This Row],[Team Number]]="","",1+COUNTIFS($J$3:$J$201,"&gt;"&amp;J190)+COUNTIFS($J$3:$J$201,J190,$I$3:$I$201,"&gt;"&amp;I190))</f>
        <v>9</v>
      </c>
      <c r="L190" s="28">
        <f>IF(TournamentData[[#This Row],[Team Number]]="","",_xlfn.XLOOKUP(TournamentData[[#This Row],[Team Number]],CoreValuesResults[Team Number],CoreValuesResults[Core Values Rank],NumberOfTeams+1,0,))</f>
        <v>9</v>
      </c>
      <c r="M190" s="28">
        <f>IF(TournamentData[[#This Row],[Team Number]]="","",_xlfn.XLOOKUP(TournamentData[[#This Row],[Team Number]],InnovationProjectResults[Team Number],InnovationProjectResults[Innovation Project Rank],NumberOfTeams+1,0,))</f>
        <v>9</v>
      </c>
      <c r="N190" s="28">
        <f>IF(TournamentData[[#This Row],[Team Number]]="","",_xlfn.XLOOKUP(TournamentData[[#This Row],[Team Number]],RobotDesignResults[Team Number],RobotDesignResults[Engineering Design Rank],NumberOfTeams+1,0,))</f>
        <v>9</v>
      </c>
      <c r="O19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90" s="29">
        <f>IF(TournamentData[[#This Row],[Team Number]]="","",IF(O190,RANK(O190,O$3:O$202,1)-COUNTIF(O$3:O$202,0),NumberOfTeams+1))</f>
        <v>9</v>
      </c>
      <c r="Q190" s="30">
        <f>_xlfn.XLOOKUP(TournamentData[[#This Row],[Team Number]],CoreValuesResults[Team Number],CoreValuesResults[Inspiration Selection],0,0,)</f>
        <v>0</v>
      </c>
      <c r="R190" s="33">
        <f>_xlfn.XLOOKUP(TournamentData[[#This Row],[Team Number]],CoreValuesResults[Team Number],CoreValuesResults[Rising All-Star Selection],0,0,)</f>
        <v>0</v>
      </c>
      <c r="S19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90" s="31"/>
      <c r="U190" s="31"/>
      <c r="V190" s="32"/>
      <c r="W190" s="91">
        <f>_xlfn.XLOOKUP(TournamentData[[#This Row],[Team Number]],CoreValuesResults[Team Number],CoreValuesResults[Core Values Score],0,0,)</f>
        <v>0</v>
      </c>
      <c r="X190" s="91">
        <f>_xlfn.XLOOKUP(TournamentData[[#This Row],[Team Number]],InnovationProjectResults[Team Number],InnovationProjectResults[Innovation Project Score],0,0,)</f>
        <v>0</v>
      </c>
      <c r="Y190" s="91">
        <f>_xlfn.XLOOKUP(TournamentData[[#This Row],[Team Number]],RobotDesignResults[Team Number],RobotDesignResults[Engineering Design Score],0,0,)</f>
        <v>0</v>
      </c>
      <c r="Z19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90" s="31">
        <f t="shared" si="5"/>
        <v>8</v>
      </c>
      <c r="AB190" s="31"/>
    </row>
    <row r="191" spans="1:28" ht="21" customHeight="1" x14ac:dyDescent="0.25">
      <c r="A191">
        <f>_xlfn.XLOOKUP(189,OfficialTeamList[Row],OfficialTeamList[Team Number],"ERROR",0)</f>
        <v>0</v>
      </c>
      <c r="B191" s="27" t="str">
        <f>_xlfn.XLOOKUP(TournamentData[[#This Row],[Team Number]],OfficialTeamList[Team Number],OfficialTeamList[Team Name],"",0,)</f>
        <v/>
      </c>
      <c r="C191" s="28">
        <f>IF(TournamentData[[#This Row],[Team Number]]="","",_xlfn.XLOOKUP(TournamentData[[#This Row],[Team Number]],RobotGameScores[Team Number],RobotGameScores[Match 1 Score],0,0,))</f>
        <v>0</v>
      </c>
      <c r="D191" s="28">
        <f>IF(TournamentData[[#This Row],[Team Number]]="","",_xlfn.XLOOKUP(TournamentData[[#This Row],[Team Number]],RobotGameScores[Team Number],RobotGameScores[Match 2 Score],0,0,))</f>
        <v>0</v>
      </c>
      <c r="E191" s="28">
        <f>IF(TournamentData[[#This Row],[Team Number]]="","",_xlfn.XLOOKUP(TournamentData[[#This Row],[Team Number]],RobotGameScores[Team Number],RobotGameScores[Match 3 Score],0,0,))</f>
        <v>0</v>
      </c>
      <c r="F191" s="28">
        <f>IF(TournamentData[[#This Row],[Team Number]]="","",_xlfn.XLOOKUP(TournamentData[[#This Row],[Team Number]],RobotGameScores[Team Number],RobotGameScores[Match 4 Score],0,0,))</f>
        <v>0</v>
      </c>
      <c r="G191" s="28">
        <f>IF(TournamentData[[#This Row],[Team Number]]="","",_xlfn.XLOOKUP(TournamentData[[#This Row],[Team Number]],RobotGameScores[Team Number],RobotGameScores[Match 5 Score],0,0,))</f>
        <v>0</v>
      </c>
      <c r="H191" s="28" t="str">
        <f>IF(TournamentData[[#This Row],[Team Name]]="","",_xlfn.XLOOKUP(TournamentData[[#This Row],[Team Name]],RobotGameScores[Team Name],RobotGameScores[Match 6 Score],0,0,))</f>
        <v/>
      </c>
      <c r="I191" s="28">
        <v>0</v>
      </c>
      <c r="J191" s="28">
        <f>SUM(TournamentData[[#This Row],[Match Score 1]:[Match Score 6]])/NumberOfRounds</f>
        <v>0</v>
      </c>
      <c r="K191" s="59">
        <f>IF(TournamentData[[#This Row],[Team Number]]="","",1+COUNTIFS($J$3:$J$201,"&gt;"&amp;J191)+COUNTIFS($J$3:$J$201,J191,$I$3:$I$201,"&gt;"&amp;I191))</f>
        <v>9</v>
      </c>
      <c r="L191" s="28">
        <f>IF(TournamentData[[#This Row],[Team Number]]="","",_xlfn.XLOOKUP(TournamentData[[#This Row],[Team Number]],CoreValuesResults[Team Number],CoreValuesResults[Core Values Rank],NumberOfTeams+1,0,))</f>
        <v>9</v>
      </c>
      <c r="M191" s="28">
        <f>IF(TournamentData[[#This Row],[Team Number]]="","",_xlfn.XLOOKUP(TournamentData[[#This Row],[Team Number]],InnovationProjectResults[Team Number],InnovationProjectResults[Innovation Project Rank],NumberOfTeams+1,0,))</f>
        <v>9</v>
      </c>
      <c r="N191" s="28">
        <f>IF(TournamentData[[#This Row],[Team Number]]="","",_xlfn.XLOOKUP(TournamentData[[#This Row],[Team Number]],RobotDesignResults[Team Number],RobotDesignResults[Engineering Design Rank],NumberOfTeams+1,0,))</f>
        <v>9</v>
      </c>
      <c r="O19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91" s="29">
        <f>IF(TournamentData[[#This Row],[Team Number]]="","",IF(O191,RANK(O191,O$3:O$202,1)-COUNTIF(O$3:O$202,0),NumberOfTeams+1))</f>
        <v>9</v>
      </c>
      <c r="Q191" s="30">
        <f>_xlfn.XLOOKUP(TournamentData[[#This Row],[Team Number]],CoreValuesResults[Team Number],CoreValuesResults[Inspiration Selection],0,0,)</f>
        <v>0</v>
      </c>
      <c r="R191" s="33">
        <f>_xlfn.XLOOKUP(TournamentData[[#This Row],[Team Number]],CoreValuesResults[Team Number],CoreValuesResults[Rising All-Star Selection],0,0,)</f>
        <v>0</v>
      </c>
      <c r="S19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91" s="31"/>
      <c r="U191" s="31"/>
      <c r="V191" s="32"/>
      <c r="W191" s="91">
        <f>_xlfn.XLOOKUP(TournamentData[[#This Row],[Team Number]],CoreValuesResults[Team Number],CoreValuesResults[Core Values Score],0,0,)</f>
        <v>0</v>
      </c>
      <c r="X191" s="91">
        <f>_xlfn.XLOOKUP(TournamentData[[#This Row],[Team Number]],InnovationProjectResults[Team Number],InnovationProjectResults[Innovation Project Score],0,0,)</f>
        <v>0</v>
      </c>
      <c r="Y191" s="91">
        <f>_xlfn.XLOOKUP(TournamentData[[#This Row],[Team Number]],RobotDesignResults[Team Number],RobotDesignResults[Engineering Design Score],0,0,)</f>
        <v>0</v>
      </c>
      <c r="Z19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91" s="31">
        <f t="shared" si="5"/>
        <v>8</v>
      </c>
      <c r="AB191" s="31"/>
    </row>
    <row r="192" spans="1:28" ht="21" customHeight="1" x14ac:dyDescent="0.25">
      <c r="A192">
        <f>_xlfn.XLOOKUP(190,OfficialTeamList[Row],OfficialTeamList[Team Number],"ERROR",0)</f>
        <v>0</v>
      </c>
      <c r="B192" s="27" t="str">
        <f>_xlfn.XLOOKUP(TournamentData[[#This Row],[Team Number]],OfficialTeamList[Team Number],OfficialTeamList[Team Name],"",0,)</f>
        <v/>
      </c>
      <c r="C192" s="28">
        <f>IF(TournamentData[[#This Row],[Team Number]]="","",_xlfn.XLOOKUP(TournamentData[[#This Row],[Team Number]],RobotGameScores[Team Number],RobotGameScores[Match 1 Score],0,0,))</f>
        <v>0</v>
      </c>
      <c r="D192" s="28">
        <f>IF(TournamentData[[#This Row],[Team Number]]="","",_xlfn.XLOOKUP(TournamentData[[#This Row],[Team Number]],RobotGameScores[Team Number],RobotGameScores[Match 2 Score],0,0,))</f>
        <v>0</v>
      </c>
      <c r="E192" s="28">
        <f>IF(TournamentData[[#This Row],[Team Number]]="","",_xlfn.XLOOKUP(TournamentData[[#This Row],[Team Number]],RobotGameScores[Team Number],RobotGameScores[Match 3 Score],0,0,))</f>
        <v>0</v>
      </c>
      <c r="F192" s="28">
        <f>IF(TournamentData[[#This Row],[Team Number]]="","",_xlfn.XLOOKUP(TournamentData[[#This Row],[Team Number]],RobotGameScores[Team Number],RobotGameScores[Match 4 Score],0,0,))</f>
        <v>0</v>
      </c>
      <c r="G192" s="28">
        <f>IF(TournamentData[[#This Row],[Team Number]]="","",_xlfn.XLOOKUP(TournamentData[[#This Row],[Team Number]],RobotGameScores[Team Number],RobotGameScores[Match 5 Score],0,0,))</f>
        <v>0</v>
      </c>
      <c r="H192" s="28" t="str">
        <f>IF(TournamentData[[#This Row],[Team Name]]="","",_xlfn.XLOOKUP(TournamentData[[#This Row],[Team Name]],RobotGameScores[Team Name],RobotGameScores[Match 6 Score],0,0,))</f>
        <v/>
      </c>
      <c r="I192" s="28">
        <v>0</v>
      </c>
      <c r="J192" s="28">
        <f>SUM(TournamentData[[#This Row],[Match Score 1]:[Match Score 6]])/NumberOfRounds</f>
        <v>0</v>
      </c>
      <c r="K192" s="60">
        <f>IF(TournamentData[[#This Row],[Team Number]]="","",1+COUNTIFS($J$3:$J$201,"&gt;"&amp;J192)+COUNTIFS($J$3:$J$201,J192,$I$3:$I$201,"&gt;"&amp;I192))</f>
        <v>9</v>
      </c>
      <c r="L192" s="28">
        <f>IF(TournamentData[[#This Row],[Team Number]]="","",_xlfn.XLOOKUP(TournamentData[[#This Row],[Team Number]],CoreValuesResults[Team Number],CoreValuesResults[Core Values Rank],NumberOfTeams+1,0,))</f>
        <v>9</v>
      </c>
      <c r="M192" s="28">
        <f>IF(TournamentData[[#This Row],[Team Number]]="","",_xlfn.XLOOKUP(TournamentData[[#This Row],[Team Number]],InnovationProjectResults[Team Number],InnovationProjectResults[Innovation Project Rank],NumberOfTeams+1,0,))</f>
        <v>9</v>
      </c>
      <c r="N192" s="28">
        <f>IF(TournamentData[[#This Row],[Team Number]]="","",_xlfn.XLOOKUP(TournamentData[[#This Row],[Team Number]],RobotDesignResults[Team Number],RobotDesignResults[Engineering Design Rank],NumberOfTeams+1,0,))</f>
        <v>9</v>
      </c>
      <c r="O19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92" s="29">
        <f>IF(TournamentData[[#This Row],[Team Number]]="","",IF(O192,RANK(O192,O$3:O$202,1)-COUNTIF(O$3:O$202,0),NumberOfTeams+1))</f>
        <v>9</v>
      </c>
      <c r="Q192" s="30">
        <f>_xlfn.XLOOKUP(TournamentData[[#This Row],[Team Number]],CoreValuesResults[Team Number],CoreValuesResults[Inspiration Selection],0,0,)</f>
        <v>0</v>
      </c>
      <c r="R192" s="33">
        <f>_xlfn.XLOOKUP(TournamentData[[#This Row],[Team Number]],CoreValuesResults[Team Number],CoreValuesResults[Rising All-Star Selection],0,0,)</f>
        <v>0</v>
      </c>
      <c r="S19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92" s="31"/>
      <c r="U192" s="31"/>
      <c r="V192" s="32"/>
      <c r="W192" s="91">
        <f>_xlfn.XLOOKUP(TournamentData[[#This Row],[Team Number]],CoreValuesResults[Team Number],CoreValuesResults[Core Values Score],0,0,)</f>
        <v>0</v>
      </c>
      <c r="X192" s="91">
        <f>_xlfn.XLOOKUP(TournamentData[[#This Row],[Team Number]],InnovationProjectResults[Team Number],InnovationProjectResults[Innovation Project Score],0,0,)</f>
        <v>0</v>
      </c>
      <c r="Y192" s="91">
        <f>_xlfn.XLOOKUP(TournamentData[[#This Row],[Team Number]],RobotDesignResults[Team Number],RobotDesignResults[Engineering Design Score],0,0,)</f>
        <v>0</v>
      </c>
      <c r="Z19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92" s="31">
        <f t="shared" si="5"/>
        <v>8</v>
      </c>
      <c r="AB192" s="31"/>
    </row>
    <row r="193" spans="1:28" ht="21" customHeight="1" x14ac:dyDescent="0.25">
      <c r="A193">
        <f>_xlfn.XLOOKUP(191,OfficialTeamList[Row],OfficialTeamList[Team Number],"ERROR",0)</f>
        <v>0</v>
      </c>
      <c r="B193" s="27" t="str">
        <f>_xlfn.XLOOKUP(TournamentData[[#This Row],[Team Number]],OfficialTeamList[Team Number],OfficialTeamList[Team Name],"",0,)</f>
        <v/>
      </c>
      <c r="C193" s="28">
        <f>IF(TournamentData[[#This Row],[Team Number]]="","",_xlfn.XLOOKUP(TournamentData[[#This Row],[Team Number]],RobotGameScores[Team Number],RobotGameScores[Match 1 Score],0,0,))</f>
        <v>0</v>
      </c>
      <c r="D193" s="28">
        <f>IF(TournamentData[[#This Row],[Team Number]]="","",_xlfn.XLOOKUP(TournamentData[[#This Row],[Team Number]],RobotGameScores[Team Number],RobotGameScores[Match 2 Score],0,0,))</f>
        <v>0</v>
      </c>
      <c r="E193" s="28">
        <f>IF(TournamentData[[#This Row],[Team Number]]="","",_xlfn.XLOOKUP(TournamentData[[#This Row],[Team Number]],RobotGameScores[Team Number],RobotGameScores[Match 3 Score],0,0,))</f>
        <v>0</v>
      </c>
      <c r="F193" s="28">
        <f>IF(TournamentData[[#This Row],[Team Number]]="","",_xlfn.XLOOKUP(TournamentData[[#This Row],[Team Number]],RobotGameScores[Team Number],RobotGameScores[Match 4 Score],0,0,))</f>
        <v>0</v>
      </c>
      <c r="G193" s="28">
        <f>IF(TournamentData[[#This Row],[Team Number]]="","",_xlfn.XLOOKUP(TournamentData[[#This Row],[Team Number]],RobotGameScores[Team Number],RobotGameScores[Match 5 Score],0,0,))</f>
        <v>0</v>
      </c>
      <c r="H193" s="28" t="str">
        <f>IF(TournamentData[[#This Row],[Team Name]]="","",_xlfn.XLOOKUP(TournamentData[[#This Row],[Team Name]],RobotGameScores[Team Name],RobotGameScores[Match 6 Score],0,0,))</f>
        <v/>
      </c>
      <c r="I193" s="28">
        <v>0</v>
      </c>
      <c r="J193" s="28">
        <f>SUM(TournamentData[[#This Row],[Match Score 1]:[Match Score 6]])/NumberOfRounds</f>
        <v>0</v>
      </c>
      <c r="K193" s="59">
        <f>IF(TournamentData[[#This Row],[Team Number]]="","",1+COUNTIFS($J$3:$J$201,"&gt;"&amp;J193)+COUNTIFS($J$3:$J$201,J193,$I$3:$I$201,"&gt;"&amp;I193))</f>
        <v>9</v>
      </c>
      <c r="L193" s="28">
        <f>IF(TournamentData[[#This Row],[Team Number]]="","",_xlfn.XLOOKUP(TournamentData[[#This Row],[Team Number]],CoreValuesResults[Team Number],CoreValuesResults[Core Values Rank],NumberOfTeams+1,0,))</f>
        <v>9</v>
      </c>
      <c r="M193" s="28">
        <f>IF(TournamentData[[#This Row],[Team Number]]="","",_xlfn.XLOOKUP(TournamentData[[#This Row],[Team Number]],InnovationProjectResults[Team Number],InnovationProjectResults[Innovation Project Rank],NumberOfTeams+1,0,))</f>
        <v>9</v>
      </c>
      <c r="N193" s="28">
        <f>IF(TournamentData[[#This Row],[Team Number]]="","",_xlfn.XLOOKUP(TournamentData[[#This Row],[Team Number]],RobotDesignResults[Team Number],RobotDesignResults[Engineering Design Rank],NumberOfTeams+1,0,))</f>
        <v>9</v>
      </c>
      <c r="O19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93" s="29">
        <f>IF(TournamentData[[#This Row],[Team Number]]="","",IF(O193,RANK(O193,O$3:O$202,1)-COUNTIF(O$3:O$202,0),NumberOfTeams+1))</f>
        <v>9</v>
      </c>
      <c r="Q193" s="30">
        <f>_xlfn.XLOOKUP(TournamentData[[#This Row],[Team Number]],CoreValuesResults[Team Number],CoreValuesResults[Inspiration Selection],0,0,)</f>
        <v>0</v>
      </c>
      <c r="R193" s="33">
        <f>_xlfn.XLOOKUP(TournamentData[[#This Row],[Team Number]],CoreValuesResults[Team Number],CoreValuesResults[Rising All-Star Selection],0,0,)</f>
        <v>0</v>
      </c>
      <c r="S19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93" s="31"/>
      <c r="U193" s="31"/>
      <c r="V193" s="32"/>
      <c r="W193" s="91">
        <f>_xlfn.XLOOKUP(TournamentData[[#This Row],[Team Number]],CoreValuesResults[Team Number],CoreValuesResults[Core Values Score],0,0,)</f>
        <v>0</v>
      </c>
      <c r="X193" s="91">
        <f>_xlfn.XLOOKUP(TournamentData[[#This Row],[Team Number]],InnovationProjectResults[Team Number],InnovationProjectResults[Innovation Project Score],0,0,)</f>
        <v>0</v>
      </c>
      <c r="Y193" s="91">
        <f>_xlfn.XLOOKUP(TournamentData[[#This Row],[Team Number]],RobotDesignResults[Team Number],RobotDesignResults[Engineering Design Score],0,0,)</f>
        <v>0</v>
      </c>
      <c r="Z19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93" s="31">
        <f t="shared" si="5"/>
        <v>8</v>
      </c>
      <c r="AB193" s="31"/>
    </row>
    <row r="194" spans="1:28" ht="21" customHeight="1" x14ac:dyDescent="0.25">
      <c r="A194">
        <f>_xlfn.XLOOKUP(192,OfficialTeamList[Row],OfficialTeamList[Team Number],"ERROR",0)</f>
        <v>0</v>
      </c>
      <c r="B194" s="27" t="str">
        <f>_xlfn.XLOOKUP(TournamentData[[#This Row],[Team Number]],OfficialTeamList[Team Number],OfficialTeamList[Team Name],"",0,)</f>
        <v/>
      </c>
      <c r="C194" s="28">
        <f>IF(TournamentData[[#This Row],[Team Number]]="","",_xlfn.XLOOKUP(TournamentData[[#This Row],[Team Number]],RobotGameScores[Team Number],RobotGameScores[Match 1 Score],0,0,))</f>
        <v>0</v>
      </c>
      <c r="D194" s="28">
        <f>IF(TournamentData[[#This Row],[Team Number]]="","",_xlfn.XLOOKUP(TournamentData[[#This Row],[Team Number]],RobotGameScores[Team Number],RobotGameScores[Match 2 Score],0,0,))</f>
        <v>0</v>
      </c>
      <c r="E194" s="28">
        <f>IF(TournamentData[[#This Row],[Team Number]]="","",_xlfn.XLOOKUP(TournamentData[[#This Row],[Team Number]],RobotGameScores[Team Number],RobotGameScores[Match 3 Score],0,0,))</f>
        <v>0</v>
      </c>
      <c r="F194" s="28">
        <f>IF(TournamentData[[#This Row],[Team Number]]="","",_xlfn.XLOOKUP(TournamentData[[#This Row],[Team Number]],RobotGameScores[Team Number],RobotGameScores[Match 4 Score],0,0,))</f>
        <v>0</v>
      </c>
      <c r="G194" s="28">
        <f>IF(TournamentData[[#This Row],[Team Number]]="","",_xlfn.XLOOKUP(TournamentData[[#This Row],[Team Number]],RobotGameScores[Team Number],RobotGameScores[Match 5 Score],0,0,))</f>
        <v>0</v>
      </c>
      <c r="H194" s="28" t="str">
        <f>IF(TournamentData[[#This Row],[Team Name]]="","",_xlfn.XLOOKUP(TournamentData[[#This Row],[Team Name]],RobotGameScores[Team Name],RobotGameScores[Match 6 Score],0,0,))</f>
        <v/>
      </c>
      <c r="I194" s="28">
        <v>0</v>
      </c>
      <c r="J194" s="28">
        <f>SUM(TournamentData[[#This Row],[Match Score 1]:[Match Score 6]])/NumberOfRounds</f>
        <v>0</v>
      </c>
      <c r="K194" s="60">
        <f>IF(TournamentData[[#This Row],[Team Number]]="","",1+COUNTIFS($J$3:$J$201,"&gt;"&amp;J194)+COUNTIFS($J$3:$J$201,J194,$I$3:$I$201,"&gt;"&amp;I194))</f>
        <v>9</v>
      </c>
      <c r="L194" s="28">
        <f>IF(TournamentData[[#This Row],[Team Number]]="","",_xlfn.XLOOKUP(TournamentData[[#This Row],[Team Number]],CoreValuesResults[Team Number],CoreValuesResults[Core Values Rank],NumberOfTeams+1,0,))</f>
        <v>9</v>
      </c>
      <c r="M194" s="28">
        <f>IF(TournamentData[[#This Row],[Team Number]]="","",_xlfn.XLOOKUP(TournamentData[[#This Row],[Team Number]],InnovationProjectResults[Team Number],InnovationProjectResults[Innovation Project Rank],NumberOfTeams+1,0,))</f>
        <v>9</v>
      </c>
      <c r="N194" s="28">
        <f>IF(TournamentData[[#This Row],[Team Number]]="","",_xlfn.XLOOKUP(TournamentData[[#This Row],[Team Number]],RobotDesignResults[Team Number],RobotDesignResults[Engineering Design Rank],NumberOfTeams+1,0,))</f>
        <v>9</v>
      </c>
      <c r="O19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94" s="29">
        <f>IF(TournamentData[[#This Row],[Team Number]]="","",IF(O194,RANK(O194,O$3:O$202,1)-COUNTIF(O$3:O$202,0),NumberOfTeams+1))</f>
        <v>9</v>
      </c>
      <c r="Q194" s="30">
        <f>_xlfn.XLOOKUP(TournamentData[[#This Row],[Team Number]],CoreValuesResults[Team Number],CoreValuesResults[Inspiration Selection],0,0,)</f>
        <v>0</v>
      </c>
      <c r="R194" s="33">
        <f>_xlfn.XLOOKUP(TournamentData[[#This Row],[Team Number]],CoreValuesResults[Team Number],CoreValuesResults[Rising All-Star Selection],0,0,)</f>
        <v>0</v>
      </c>
      <c r="S19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94" s="31"/>
      <c r="U194" s="31"/>
      <c r="V194" s="32"/>
      <c r="W194" s="91">
        <f>_xlfn.XLOOKUP(TournamentData[[#This Row],[Team Number]],CoreValuesResults[Team Number],CoreValuesResults[Core Values Score],0,0,)</f>
        <v>0</v>
      </c>
      <c r="X194" s="91">
        <f>_xlfn.XLOOKUP(TournamentData[[#This Row],[Team Number]],InnovationProjectResults[Team Number],InnovationProjectResults[Innovation Project Score],0,0,)</f>
        <v>0</v>
      </c>
      <c r="Y194" s="91">
        <f>_xlfn.XLOOKUP(TournamentData[[#This Row],[Team Number]],RobotDesignResults[Team Number],RobotDesignResults[Engineering Design Score],0,0,)</f>
        <v>0</v>
      </c>
      <c r="Z19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94" s="31">
        <f t="shared" si="5"/>
        <v>8</v>
      </c>
      <c r="AB194" s="31"/>
    </row>
    <row r="195" spans="1:28" ht="21" customHeight="1" x14ac:dyDescent="0.25">
      <c r="A195">
        <f>_xlfn.XLOOKUP(193,OfficialTeamList[Row],OfficialTeamList[Team Number],"ERROR",0)</f>
        <v>0</v>
      </c>
      <c r="B195" s="27" t="str">
        <f>_xlfn.XLOOKUP(TournamentData[[#This Row],[Team Number]],OfficialTeamList[Team Number],OfficialTeamList[Team Name],"",0,)</f>
        <v/>
      </c>
      <c r="C195" s="28">
        <f>IF(TournamentData[[#This Row],[Team Number]]="","",_xlfn.XLOOKUP(TournamentData[[#This Row],[Team Number]],RobotGameScores[Team Number],RobotGameScores[Match 1 Score],0,0,))</f>
        <v>0</v>
      </c>
      <c r="D195" s="28">
        <f>IF(TournamentData[[#This Row],[Team Number]]="","",_xlfn.XLOOKUP(TournamentData[[#This Row],[Team Number]],RobotGameScores[Team Number],RobotGameScores[Match 2 Score],0,0,))</f>
        <v>0</v>
      </c>
      <c r="E195" s="28">
        <f>IF(TournamentData[[#This Row],[Team Number]]="","",_xlfn.XLOOKUP(TournamentData[[#This Row],[Team Number]],RobotGameScores[Team Number],RobotGameScores[Match 3 Score],0,0,))</f>
        <v>0</v>
      </c>
      <c r="F195" s="28">
        <f>IF(TournamentData[[#This Row],[Team Number]]="","",_xlfn.XLOOKUP(TournamentData[[#This Row],[Team Number]],RobotGameScores[Team Number],RobotGameScores[Match 4 Score],0,0,))</f>
        <v>0</v>
      </c>
      <c r="G195" s="28">
        <f>IF(TournamentData[[#This Row],[Team Number]]="","",_xlfn.XLOOKUP(TournamentData[[#This Row],[Team Number]],RobotGameScores[Team Number],RobotGameScores[Match 5 Score],0,0,))</f>
        <v>0</v>
      </c>
      <c r="H195" s="28" t="str">
        <f>IF(TournamentData[[#This Row],[Team Name]]="","",_xlfn.XLOOKUP(TournamentData[[#This Row],[Team Name]],RobotGameScores[Team Name],RobotGameScores[Match 6 Score],0,0,))</f>
        <v/>
      </c>
      <c r="I195" s="28">
        <v>0</v>
      </c>
      <c r="J195" s="28">
        <f>SUM(TournamentData[[#This Row],[Match Score 1]:[Match Score 6]])/NumberOfRounds</f>
        <v>0</v>
      </c>
      <c r="K195" s="59">
        <f>IF(TournamentData[[#This Row],[Team Number]]="","",1+COUNTIFS($J$3:$J$201,"&gt;"&amp;J195)+COUNTIFS($J$3:$J$201,J195,$I$3:$I$201,"&gt;"&amp;I195))</f>
        <v>9</v>
      </c>
      <c r="L195" s="28">
        <f>IF(TournamentData[[#This Row],[Team Number]]="","",_xlfn.XLOOKUP(TournamentData[[#This Row],[Team Number]],CoreValuesResults[Team Number],CoreValuesResults[Core Values Rank],NumberOfTeams+1,0,))</f>
        <v>9</v>
      </c>
      <c r="M195" s="28">
        <f>IF(TournamentData[[#This Row],[Team Number]]="","",_xlfn.XLOOKUP(TournamentData[[#This Row],[Team Number]],InnovationProjectResults[Team Number],InnovationProjectResults[Innovation Project Rank],NumberOfTeams+1,0,))</f>
        <v>9</v>
      </c>
      <c r="N195" s="28">
        <f>IF(TournamentData[[#This Row],[Team Number]]="","",_xlfn.XLOOKUP(TournamentData[[#This Row],[Team Number]],RobotDesignResults[Team Number],RobotDesignResults[Engineering Design Rank],NumberOfTeams+1,0,))</f>
        <v>9</v>
      </c>
      <c r="O19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95" s="29">
        <f>IF(TournamentData[[#This Row],[Team Number]]="","",IF(O195,RANK(O195,O$3:O$202,1)-COUNTIF(O$3:O$202,0),NumberOfTeams+1))</f>
        <v>9</v>
      </c>
      <c r="Q195" s="30">
        <f>_xlfn.XLOOKUP(TournamentData[[#This Row],[Team Number]],CoreValuesResults[Team Number],CoreValuesResults[Inspiration Selection],0,0,)</f>
        <v>0</v>
      </c>
      <c r="R195" s="33">
        <f>_xlfn.XLOOKUP(TournamentData[[#This Row],[Team Number]],CoreValuesResults[Team Number],CoreValuesResults[Rising All-Star Selection],0,0,)</f>
        <v>0</v>
      </c>
      <c r="S19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95" s="31"/>
      <c r="U195" s="31"/>
      <c r="V195" s="32"/>
      <c r="W195" s="91">
        <f>_xlfn.XLOOKUP(TournamentData[[#This Row],[Team Number]],CoreValuesResults[Team Number],CoreValuesResults[Core Values Score],0,0,)</f>
        <v>0</v>
      </c>
      <c r="X195" s="91">
        <f>_xlfn.XLOOKUP(TournamentData[[#This Row],[Team Number]],InnovationProjectResults[Team Number],InnovationProjectResults[Innovation Project Score],0,0,)</f>
        <v>0</v>
      </c>
      <c r="Y195" s="91">
        <f>_xlfn.XLOOKUP(TournamentData[[#This Row],[Team Number]],RobotDesignResults[Team Number],RobotDesignResults[Engineering Design Score],0,0,)</f>
        <v>0</v>
      </c>
      <c r="Z19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95" s="31">
        <f t="shared" ref="AA195:AA202" si="6">IF(Z195,_xlfn.RANK.EQ(Z195,Z$3:Z$110,0),NumberOfTeams)</f>
        <v>8</v>
      </c>
      <c r="AB195" s="31"/>
    </row>
    <row r="196" spans="1:28" ht="21" customHeight="1" x14ac:dyDescent="0.25">
      <c r="A196">
        <f>_xlfn.XLOOKUP(194,OfficialTeamList[Row],OfficialTeamList[Team Number],"ERROR",0)</f>
        <v>0</v>
      </c>
      <c r="B196" s="27" t="str">
        <f>_xlfn.XLOOKUP(TournamentData[[#This Row],[Team Number]],OfficialTeamList[Team Number],OfficialTeamList[Team Name],"",0,)</f>
        <v/>
      </c>
      <c r="C196" s="28">
        <f>IF(TournamentData[[#This Row],[Team Number]]="","",_xlfn.XLOOKUP(TournamentData[[#This Row],[Team Number]],RobotGameScores[Team Number],RobotGameScores[Match 1 Score],0,0,))</f>
        <v>0</v>
      </c>
      <c r="D196" s="28">
        <f>IF(TournamentData[[#This Row],[Team Number]]="","",_xlfn.XLOOKUP(TournamentData[[#This Row],[Team Number]],RobotGameScores[Team Number],RobotGameScores[Match 2 Score],0,0,))</f>
        <v>0</v>
      </c>
      <c r="E196" s="28">
        <f>IF(TournamentData[[#This Row],[Team Number]]="","",_xlfn.XLOOKUP(TournamentData[[#This Row],[Team Number]],RobotGameScores[Team Number],RobotGameScores[Match 3 Score],0,0,))</f>
        <v>0</v>
      </c>
      <c r="F196" s="28">
        <f>IF(TournamentData[[#This Row],[Team Number]]="","",_xlfn.XLOOKUP(TournamentData[[#This Row],[Team Number]],RobotGameScores[Team Number],RobotGameScores[Match 4 Score],0,0,))</f>
        <v>0</v>
      </c>
      <c r="G196" s="28">
        <f>IF(TournamentData[[#This Row],[Team Number]]="","",_xlfn.XLOOKUP(TournamentData[[#This Row],[Team Number]],RobotGameScores[Team Number],RobotGameScores[Match 5 Score],0,0,))</f>
        <v>0</v>
      </c>
      <c r="H196" s="28" t="str">
        <f>IF(TournamentData[[#This Row],[Team Name]]="","",_xlfn.XLOOKUP(TournamentData[[#This Row],[Team Name]],RobotGameScores[Team Name],RobotGameScores[Match 6 Score],0,0,))</f>
        <v/>
      </c>
      <c r="I196" s="28">
        <v>0</v>
      </c>
      <c r="J196" s="28">
        <f>SUM(TournamentData[[#This Row],[Match Score 1]:[Match Score 6]])/NumberOfRounds</f>
        <v>0</v>
      </c>
      <c r="K196" s="60">
        <f>IF(TournamentData[[#This Row],[Team Number]]="","",1+COUNTIFS($J$3:$J$201,"&gt;"&amp;J196)+COUNTIFS($J$3:$J$201,J196,$I$3:$I$201,"&gt;"&amp;I196))</f>
        <v>9</v>
      </c>
      <c r="L196" s="28">
        <f>IF(TournamentData[[#This Row],[Team Number]]="","",_xlfn.XLOOKUP(TournamentData[[#This Row],[Team Number]],CoreValuesResults[Team Number],CoreValuesResults[Core Values Rank],NumberOfTeams+1,0,))</f>
        <v>9</v>
      </c>
      <c r="M196" s="28">
        <f>IF(TournamentData[[#This Row],[Team Number]]="","",_xlfn.XLOOKUP(TournamentData[[#This Row],[Team Number]],InnovationProjectResults[Team Number],InnovationProjectResults[Innovation Project Rank],NumberOfTeams+1,0,))</f>
        <v>9</v>
      </c>
      <c r="N196" s="28">
        <f>IF(TournamentData[[#This Row],[Team Number]]="","",_xlfn.XLOOKUP(TournamentData[[#This Row],[Team Number]],RobotDesignResults[Team Number],RobotDesignResults[Engineering Design Rank],NumberOfTeams+1,0,))</f>
        <v>9</v>
      </c>
      <c r="O19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96" s="29">
        <f>IF(TournamentData[[#This Row],[Team Number]]="","",IF(O196,RANK(O196,O$3:O$202,1)-COUNTIF(O$3:O$202,0),NumberOfTeams+1))</f>
        <v>9</v>
      </c>
      <c r="Q196" s="30">
        <f>_xlfn.XLOOKUP(TournamentData[[#This Row],[Team Number]],CoreValuesResults[Team Number],CoreValuesResults[Inspiration Selection],0,0,)</f>
        <v>0</v>
      </c>
      <c r="R196" s="33">
        <f>_xlfn.XLOOKUP(TournamentData[[#This Row],[Team Number]],CoreValuesResults[Team Number],CoreValuesResults[Rising All-Star Selection],0,0,)</f>
        <v>0</v>
      </c>
      <c r="S19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96" s="31"/>
      <c r="U196" s="31"/>
      <c r="V196" s="32"/>
      <c r="W196" s="91">
        <f>_xlfn.XLOOKUP(TournamentData[[#This Row],[Team Number]],CoreValuesResults[Team Number],CoreValuesResults[Core Values Score],0,0,)</f>
        <v>0</v>
      </c>
      <c r="X196" s="91">
        <f>_xlfn.XLOOKUP(TournamentData[[#This Row],[Team Number]],InnovationProjectResults[Team Number],InnovationProjectResults[Innovation Project Score],0,0,)</f>
        <v>0</v>
      </c>
      <c r="Y196" s="91">
        <f>_xlfn.XLOOKUP(TournamentData[[#This Row],[Team Number]],RobotDesignResults[Team Number],RobotDesignResults[Engineering Design Score],0,0,)</f>
        <v>0</v>
      </c>
      <c r="Z19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96" s="31">
        <f t="shared" si="6"/>
        <v>8</v>
      </c>
      <c r="AB196" s="31"/>
    </row>
    <row r="197" spans="1:28" ht="21" customHeight="1" x14ac:dyDescent="0.25">
      <c r="A197">
        <f>_xlfn.XLOOKUP(195,OfficialTeamList[Row],OfficialTeamList[Team Number],"ERROR",0)</f>
        <v>0</v>
      </c>
      <c r="B197" s="27" t="str">
        <f>_xlfn.XLOOKUP(TournamentData[[#This Row],[Team Number]],OfficialTeamList[Team Number],OfficialTeamList[Team Name],"",0,)</f>
        <v/>
      </c>
      <c r="C197" s="28">
        <f>IF(TournamentData[[#This Row],[Team Number]]="","",_xlfn.XLOOKUP(TournamentData[[#This Row],[Team Number]],RobotGameScores[Team Number],RobotGameScores[Match 1 Score],0,0,))</f>
        <v>0</v>
      </c>
      <c r="D197" s="28">
        <f>IF(TournamentData[[#This Row],[Team Number]]="","",_xlfn.XLOOKUP(TournamentData[[#This Row],[Team Number]],RobotGameScores[Team Number],RobotGameScores[Match 2 Score],0,0,))</f>
        <v>0</v>
      </c>
      <c r="E197" s="28">
        <f>IF(TournamentData[[#This Row],[Team Number]]="","",_xlfn.XLOOKUP(TournamentData[[#This Row],[Team Number]],RobotGameScores[Team Number],RobotGameScores[Match 3 Score],0,0,))</f>
        <v>0</v>
      </c>
      <c r="F197" s="28">
        <f>IF(TournamentData[[#This Row],[Team Number]]="","",_xlfn.XLOOKUP(TournamentData[[#This Row],[Team Number]],RobotGameScores[Team Number],RobotGameScores[Match 4 Score],0,0,))</f>
        <v>0</v>
      </c>
      <c r="G197" s="28">
        <f>IF(TournamentData[[#This Row],[Team Number]]="","",_xlfn.XLOOKUP(TournamentData[[#This Row],[Team Number]],RobotGameScores[Team Number],RobotGameScores[Match 5 Score],0,0,))</f>
        <v>0</v>
      </c>
      <c r="H197" s="28" t="str">
        <f>IF(TournamentData[[#This Row],[Team Name]]="","",_xlfn.XLOOKUP(TournamentData[[#This Row],[Team Name]],RobotGameScores[Team Name],RobotGameScores[Match 6 Score],0,0,))</f>
        <v/>
      </c>
      <c r="I197" s="28">
        <v>0</v>
      </c>
      <c r="J197" s="28">
        <f>SUM(TournamentData[[#This Row],[Match Score 1]:[Match Score 6]])/NumberOfRounds</f>
        <v>0</v>
      </c>
      <c r="K197" s="59">
        <f>IF(TournamentData[[#This Row],[Team Number]]="","",1+COUNTIFS($J$3:$J$201,"&gt;"&amp;J197)+COUNTIFS($J$3:$J$201,J197,$I$3:$I$201,"&gt;"&amp;I197))</f>
        <v>9</v>
      </c>
      <c r="L197" s="28">
        <f>IF(TournamentData[[#This Row],[Team Number]]="","",_xlfn.XLOOKUP(TournamentData[[#This Row],[Team Number]],CoreValuesResults[Team Number],CoreValuesResults[Core Values Rank],NumberOfTeams+1,0,))</f>
        <v>9</v>
      </c>
      <c r="M197" s="28">
        <f>IF(TournamentData[[#This Row],[Team Number]]="","",_xlfn.XLOOKUP(TournamentData[[#This Row],[Team Number]],InnovationProjectResults[Team Number],InnovationProjectResults[Innovation Project Rank],NumberOfTeams+1,0,))</f>
        <v>9</v>
      </c>
      <c r="N197" s="28">
        <f>IF(TournamentData[[#This Row],[Team Number]]="","",_xlfn.XLOOKUP(TournamentData[[#This Row],[Team Number]],RobotDesignResults[Team Number],RobotDesignResults[Engineering Design Rank],NumberOfTeams+1,0,))</f>
        <v>9</v>
      </c>
      <c r="O19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97" s="29">
        <f>IF(TournamentData[[#This Row],[Team Number]]="","",IF(O197,RANK(O197,O$3:O$202,1)-COUNTIF(O$3:O$202,0),NumberOfTeams+1))</f>
        <v>9</v>
      </c>
      <c r="Q197" s="30">
        <f>_xlfn.XLOOKUP(TournamentData[[#This Row],[Team Number]],CoreValuesResults[Team Number],CoreValuesResults[Inspiration Selection],0,0,)</f>
        <v>0</v>
      </c>
      <c r="R197" s="33">
        <f>_xlfn.XLOOKUP(TournamentData[[#This Row],[Team Number]],CoreValuesResults[Team Number],CoreValuesResults[Rising All-Star Selection],0,0,)</f>
        <v>0</v>
      </c>
      <c r="S19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97" s="31"/>
      <c r="U197" s="31"/>
      <c r="V197" s="32"/>
      <c r="W197" s="91">
        <f>_xlfn.XLOOKUP(TournamentData[[#This Row],[Team Number]],CoreValuesResults[Team Number],CoreValuesResults[Core Values Score],0,0,)</f>
        <v>0</v>
      </c>
      <c r="X197" s="91">
        <f>_xlfn.XLOOKUP(TournamentData[[#This Row],[Team Number]],InnovationProjectResults[Team Number],InnovationProjectResults[Innovation Project Score],0,0,)</f>
        <v>0</v>
      </c>
      <c r="Y197" s="91">
        <f>_xlfn.XLOOKUP(TournamentData[[#This Row],[Team Number]],RobotDesignResults[Team Number],RobotDesignResults[Engineering Design Score],0,0,)</f>
        <v>0</v>
      </c>
      <c r="Z19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97" s="31">
        <f t="shared" si="6"/>
        <v>8</v>
      </c>
      <c r="AB197" s="31"/>
    </row>
    <row r="198" spans="1:28" ht="21" customHeight="1" x14ac:dyDescent="0.25">
      <c r="A198">
        <f>_xlfn.XLOOKUP(196,OfficialTeamList[Row],OfficialTeamList[Team Number],"ERROR",0)</f>
        <v>0</v>
      </c>
      <c r="B198" s="27" t="str">
        <f>_xlfn.XLOOKUP(TournamentData[[#This Row],[Team Number]],OfficialTeamList[Team Number],OfficialTeamList[Team Name],"",0,)</f>
        <v/>
      </c>
      <c r="C198" s="28">
        <f>IF(TournamentData[[#This Row],[Team Number]]="","",_xlfn.XLOOKUP(TournamentData[[#This Row],[Team Number]],RobotGameScores[Team Number],RobotGameScores[Match 1 Score],0,0,))</f>
        <v>0</v>
      </c>
      <c r="D198" s="28">
        <f>IF(TournamentData[[#This Row],[Team Number]]="","",_xlfn.XLOOKUP(TournamentData[[#This Row],[Team Number]],RobotGameScores[Team Number],RobotGameScores[Match 2 Score],0,0,))</f>
        <v>0</v>
      </c>
      <c r="E198" s="28">
        <f>IF(TournamentData[[#This Row],[Team Number]]="","",_xlfn.XLOOKUP(TournamentData[[#This Row],[Team Number]],RobotGameScores[Team Number],RobotGameScores[Match 3 Score],0,0,))</f>
        <v>0</v>
      </c>
      <c r="F198" s="28">
        <f>IF(TournamentData[[#This Row],[Team Number]]="","",_xlfn.XLOOKUP(TournamentData[[#This Row],[Team Number]],RobotGameScores[Team Number],RobotGameScores[Match 4 Score],0,0,))</f>
        <v>0</v>
      </c>
      <c r="G198" s="28">
        <f>IF(TournamentData[[#This Row],[Team Number]]="","",_xlfn.XLOOKUP(TournamentData[[#This Row],[Team Number]],RobotGameScores[Team Number],RobotGameScores[Match 5 Score],0,0,))</f>
        <v>0</v>
      </c>
      <c r="H198" s="28" t="str">
        <f>IF(TournamentData[[#This Row],[Team Name]]="","",_xlfn.XLOOKUP(TournamentData[[#This Row],[Team Name]],RobotGameScores[Team Name],RobotGameScores[Match 6 Score],0,0,))</f>
        <v/>
      </c>
      <c r="I198" s="28">
        <v>0</v>
      </c>
      <c r="J198" s="28">
        <f>SUM(TournamentData[[#This Row],[Match Score 1]:[Match Score 6]])/NumberOfRounds</f>
        <v>0</v>
      </c>
      <c r="K198" s="60">
        <f>IF(TournamentData[[#This Row],[Team Number]]="","",1+COUNTIFS($J$3:$J$201,"&gt;"&amp;J198)+COUNTIFS($J$3:$J$201,J198,$I$3:$I$201,"&gt;"&amp;I198))</f>
        <v>9</v>
      </c>
      <c r="L198" s="28">
        <f>IF(TournamentData[[#This Row],[Team Number]]="","",_xlfn.XLOOKUP(TournamentData[[#This Row],[Team Number]],CoreValuesResults[Team Number],CoreValuesResults[Core Values Rank],NumberOfTeams+1,0,))</f>
        <v>9</v>
      </c>
      <c r="M198" s="28">
        <f>IF(TournamentData[[#This Row],[Team Number]]="","",_xlfn.XLOOKUP(TournamentData[[#This Row],[Team Number]],InnovationProjectResults[Team Number],InnovationProjectResults[Innovation Project Rank],NumberOfTeams+1,0,))</f>
        <v>9</v>
      </c>
      <c r="N198" s="28">
        <f>IF(TournamentData[[#This Row],[Team Number]]="","",_xlfn.XLOOKUP(TournamentData[[#This Row],[Team Number]],RobotDesignResults[Team Number],RobotDesignResults[Engineering Design Rank],NumberOfTeams+1,0,))</f>
        <v>9</v>
      </c>
      <c r="O19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98" s="29">
        <f>IF(TournamentData[[#This Row],[Team Number]]="","",IF(O198,RANK(O198,O$3:O$202,1)-COUNTIF(O$3:O$202,0),NumberOfTeams+1))</f>
        <v>9</v>
      </c>
      <c r="Q198" s="30">
        <f>_xlfn.XLOOKUP(TournamentData[[#This Row],[Team Number]],CoreValuesResults[Team Number],CoreValuesResults[Inspiration Selection],0,0,)</f>
        <v>0</v>
      </c>
      <c r="R198" s="33">
        <f>_xlfn.XLOOKUP(TournamentData[[#This Row],[Team Number]],CoreValuesResults[Team Number],CoreValuesResults[Rising All-Star Selection],0,0,)</f>
        <v>0</v>
      </c>
      <c r="S19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98" s="31"/>
      <c r="U198" s="31"/>
      <c r="V198" s="32"/>
      <c r="W198" s="91">
        <f>_xlfn.XLOOKUP(TournamentData[[#This Row],[Team Number]],CoreValuesResults[Team Number],CoreValuesResults[Core Values Score],0,0,)</f>
        <v>0</v>
      </c>
      <c r="X198" s="91">
        <f>_xlfn.XLOOKUP(TournamentData[[#This Row],[Team Number]],InnovationProjectResults[Team Number],InnovationProjectResults[Innovation Project Score],0,0,)</f>
        <v>0</v>
      </c>
      <c r="Y198" s="91">
        <f>_xlfn.XLOOKUP(TournamentData[[#This Row],[Team Number]],RobotDesignResults[Team Number],RobotDesignResults[Engineering Design Score],0,0,)</f>
        <v>0</v>
      </c>
      <c r="Z19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98" s="31">
        <f t="shared" si="6"/>
        <v>8</v>
      </c>
      <c r="AB198" s="31"/>
    </row>
    <row r="199" spans="1:28" ht="21" customHeight="1" x14ac:dyDescent="0.25">
      <c r="A199">
        <f>_xlfn.XLOOKUP(197,OfficialTeamList[Row],OfficialTeamList[Team Number],"ERROR",0)</f>
        <v>0</v>
      </c>
      <c r="B199" s="27" t="str">
        <f>_xlfn.XLOOKUP(TournamentData[[#This Row],[Team Number]],OfficialTeamList[Team Number],OfficialTeamList[Team Name],"",0,)</f>
        <v/>
      </c>
      <c r="C199" s="28">
        <f>IF(TournamentData[[#This Row],[Team Number]]="","",_xlfn.XLOOKUP(TournamentData[[#This Row],[Team Number]],RobotGameScores[Team Number],RobotGameScores[Match 1 Score],0,0,))</f>
        <v>0</v>
      </c>
      <c r="D199" s="28">
        <f>IF(TournamentData[[#This Row],[Team Number]]="","",_xlfn.XLOOKUP(TournamentData[[#This Row],[Team Number]],RobotGameScores[Team Number],RobotGameScores[Match 2 Score],0,0,))</f>
        <v>0</v>
      </c>
      <c r="E199" s="28">
        <f>IF(TournamentData[[#This Row],[Team Number]]="","",_xlfn.XLOOKUP(TournamentData[[#This Row],[Team Number]],RobotGameScores[Team Number],RobotGameScores[Match 3 Score],0,0,))</f>
        <v>0</v>
      </c>
      <c r="F199" s="28">
        <f>IF(TournamentData[[#This Row],[Team Number]]="","",_xlfn.XLOOKUP(TournamentData[[#This Row],[Team Number]],RobotGameScores[Team Number],RobotGameScores[Match 4 Score],0,0,))</f>
        <v>0</v>
      </c>
      <c r="G199" s="28">
        <f>IF(TournamentData[[#This Row],[Team Number]]="","",_xlfn.XLOOKUP(TournamentData[[#This Row],[Team Number]],RobotGameScores[Team Number],RobotGameScores[Match 5 Score],0,0,))</f>
        <v>0</v>
      </c>
      <c r="H199" s="28" t="str">
        <f>IF(TournamentData[[#This Row],[Team Name]]="","",_xlfn.XLOOKUP(TournamentData[[#This Row],[Team Name]],RobotGameScores[Team Name],RobotGameScores[Match 6 Score],0,0,))</f>
        <v/>
      </c>
      <c r="I199" s="28">
        <v>0</v>
      </c>
      <c r="J199" s="28">
        <f>SUM(TournamentData[[#This Row],[Match Score 1]:[Match Score 6]])/NumberOfRounds</f>
        <v>0</v>
      </c>
      <c r="K199" s="59">
        <f>IF(TournamentData[[#This Row],[Team Number]]="","",1+COUNTIFS($J$3:$J$201,"&gt;"&amp;J199)+COUNTIFS($J$3:$J$201,J199,$I$3:$I$201,"&gt;"&amp;I199))</f>
        <v>9</v>
      </c>
      <c r="L199" s="28">
        <f>IF(TournamentData[[#This Row],[Team Number]]="","",_xlfn.XLOOKUP(TournamentData[[#This Row],[Team Number]],CoreValuesResults[Team Number],CoreValuesResults[Core Values Rank],NumberOfTeams+1,0,))</f>
        <v>9</v>
      </c>
      <c r="M199" s="28">
        <f>IF(TournamentData[[#This Row],[Team Number]]="","",_xlfn.XLOOKUP(TournamentData[[#This Row],[Team Number]],InnovationProjectResults[Team Number],InnovationProjectResults[Innovation Project Rank],NumberOfTeams+1,0,))</f>
        <v>9</v>
      </c>
      <c r="N199" s="28">
        <f>IF(TournamentData[[#This Row],[Team Number]]="","",_xlfn.XLOOKUP(TournamentData[[#This Row],[Team Number]],RobotDesignResults[Team Number],RobotDesignResults[Engineering Design Rank],NumberOfTeams+1,0,))</f>
        <v>9</v>
      </c>
      <c r="O19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99" s="29">
        <f>IF(TournamentData[[#This Row],[Team Number]]="","",IF(O199,RANK(O199,O$3:O$202,1)-COUNTIF(O$3:O$202,0),NumberOfTeams+1))</f>
        <v>9</v>
      </c>
      <c r="Q199" s="30">
        <f>_xlfn.XLOOKUP(TournamentData[[#This Row],[Team Number]],CoreValuesResults[Team Number],CoreValuesResults[Inspiration Selection],0,0,)</f>
        <v>0</v>
      </c>
      <c r="R199" s="33">
        <f>_xlfn.XLOOKUP(TournamentData[[#This Row],[Team Number]],CoreValuesResults[Team Number],CoreValuesResults[Rising All-Star Selection],0,0,)</f>
        <v>0</v>
      </c>
      <c r="S19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99" s="31"/>
      <c r="U199" s="31"/>
      <c r="V199" s="32"/>
      <c r="W199" s="91">
        <f>_xlfn.XLOOKUP(TournamentData[[#This Row],[Team Number]],CoreValuesResults[Team Number],CoreValuesResults[Core Values Score],0,0,)</f>
        <v>0</v>
      </c>
      <c r="X199" s="91">
        <f>_xlfn.XLOOKUP(TournamentData[[#This Row],[Team Number]],InnovationProjectResults[Team Number],InnovationProjectResults[Innovation Project Score],0,0,)</f>
        <v>0</v>
      </c>
      <c r="Y199" s="91">
        <f>_xlfn.XLOOKUP(TournamentData[[#This Row],[Team Number]],RobotDesignResults[Team Number],RobotDesignResults[Engineering Design Score],0,0,)</f>
        <v>0</v>
      </c>
      <c r="Z19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99" s="31">
        <f t="shared" si="6"/>
        <v>8</v>
      </c>
      <c r="AB199" s="31"/>
    </row>
    <row r="200" spans="1:28" ht="21" customHeight="1" x14ac:dyDescent="0.25">
      <c r="A200">
        <f>_xlfn.XLOOKUP(198,OfficialTeamList[Row],OfficialTeamList[Team Number],"ERROR",0)</f>
        <v>0</v>
      </c>
      <c r="B200" s="27" t="str">
        <f>_xlfn.XLOOKUP(TournamentData[[#This Row],[Team Number]],OfficialTeamList[Team Number],OfficialTeamList[Team Name],"",0,)</f>
        <v/>
      </c>
      <c r="C200" s="28">
        <f>IF(TournamentData[[#This Row],[Team Number]]="","",_xlfn.XLOOKUP(TournamentData[[#This Row],[Team Number]],RobotGameScores[Team Number],RobotGameScores[Match 1 Score],0,0,))</f>
        <v>0</v>
      </c>
      <c r="D200" s="28">
        <f>IF(TournamentData[[#This Row],[Team Number]]="","",_xlfn.XLOOKUP(TournamentData[[#This Row],[Team Number]],RobotGameScores[Team Number],RobotGameScores[Match 2 Score],0,0,))</f>
        <v>0</v>
      </c>
      <c r="E200" s="28">
        <f>IF(TournamentData[[#This Row],[Team Number]]="","",_xlfn.XLOOKUP(TournamentData[[#This Row],[Team Number]],RobotGameScores[Team Number],RobotGameScores[Match 3 Score],0,0,))</f>
        <v>0</v>
      </c>
      <c r="F200" s="28">
        <f>IF(TournamentData[[#This Row],[Team Number]]="","",_xlfn.XLOOKUP(TournamentData[[#This Row],[Team Number]],RobotGameScores[Team Number],RobotGameScores[Match 4 Score],0,0,))</f>
        <v>0</v>
      </c>
      <c r="G200" s="28">
        <f>IF(TournamentData[[#This Row],[Team Number]]="","",_xlfn.XLOOKUP(TournamentData[[#This Row],[Team Number]],RobotGameScores[Team Number],RobotGameScores[Match 5 Score],0,0,))</f>
        <v>0</v>
      </c>
      <c r="H200" s="28" t="str">
        <f>IF(TournamentData[[#This Row],[Team Name]]="","",_xlfn.XLOOKUP(TournamentData[[#This Row],[Team Name]],RobotGameScores[Team Name],RobotGameScores[Match 6 Score],0,0,))</f>
        <v/>
      </c>
      <c r="I200" s="28">
        <v>0</v>
      </c>
      <c r="J200" s="28">
        <f>SUM(TournamentData[[#This Row],[Match Score 1]:[Match Score 6]])/NumberOfRounds</f>
        <v>0</v>
      </c>
      <c r="K200" s="60">
        <f>IF(TournamentData[[#This Row],[Team Number]]="","",1+COUNTIFS($J$3:$J$201,"&gt;"&amp;J200)+COUNTIFS($J$3:$J$201,J200,$I$3:$I$201,"&gt;"&amp;I200))</f>
        <v>9</v>
      </c>
      <c r="L200" s="28">
        <f>IF(TournamentData[[#This Row],[Team Number]]="","",_xlfn.XLOOKUP(TournamentData[[#This Row],[Team Number]],CoreValuesResults[Team Number],CoreValuesResults[Core Values Rank],NumberOfTeams+1,0,))</f>
        <v>9</v>
      </c>
      <c r="M200" s="28">
        <f>IF(TournamentData[[#This Row],[Team Number]]="","",_xlfn.XLOOKUP(TournamentData[[#This Row],[Team Number]],InnovationProjectResults[Team Number],InnovationProjectResults[Innovation Project Rank],NumberOfTeams+1,0,))</f>
        <v>9</v>
      </c>
      <c r="N200" s="28">
        <f>IF(TournamentData[[#This Row],[Team Number]]="","",_xlfn.XLOOKUP(TournamentData[[#This Row],[Team Number]],RobotDesignResults[Team Number],RobotDesignResults[Engineering Design Rank],NumberOfTeams+1,0,))</f>
        <v>9</v>
      </c>
      <c r="O20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00" s="29">
        <f>IF(TournamentData[[#This Row],[Team Number]]="","",IF(O200,RANK(O200,O$3:O$202,1)-COUNTIF(O$3:O$202,0),NumberOfTeams+1))</f>
        <v>9</v>
      </c>
      <c r="Q200" s="30">
        <f>_xlfn.XLOOKUP(TournamentData[[#This Row],[Team Number]],CoreValuesResults[Team Number],CoreValuesResults[Inspiration Selection],0,0,)</f>
        <v>0</v>
      </c>
      <c r="R200" s="33">
        <f>_xlfn.XLOOKUP(TournamentData[[#This Row],[Team Number]],CoreValuesResults[Team Number],CoreValuesResults[Rising All-Star Selection],0,0,)</f>
        <v>0</v>
      </c>
      <c r="S20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00" s="31"/>
      <c r="U200" s="31"/>
      <c r="V200" s="32"/>
      <c r="W200" s="91">
        <f>_xlfn.XLOOKUP(TournamentData[[#This Row],[Team Number]],CoreValuesResults[Team Number],CoreValuesResults[Core Values Score],0,0,)</f>
        <v>0</v>
      </c>
      <c r="X200" s="91">
        <f>_xlfn.XLOOKUP(TournamentData[[#This Row],[Team Number]],InnovationProjectResults[Team Number],InnovationProjectResults[Innovation Project Score],0,0,)</f>
        <v>0</v>
      </c>
      <c r="Y200" s="91">
        <f>_xlfn.XLOOKUP(TournamentData[[#This Row],[Team Number]],RobotDesignResults[Team Number],RobotDesignResults[Engineering Design Score],0,0,)</f>
        <v>0</v>
      </c>
      <c r="Z20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00" s="31">
        <f t="shared" si="6"/>
        <v>8</v>
      </c>
      <c r="AB200" s="31"/>
    </row>
    <row r="201" spans="1:28" ht="21" customHeight="1" x14ac:dyDescent="0.25">
      <c r="A201">
        <f>_xlfn.XLOOKUP(199,OfficialTeamList[Row],OfficialTeamList[Team Number],"ERROR",0)</f>
        <v>0</v>
      </c>
      <c r="B201" s="27" t="str">
        <f>_xlfn.XLOOKUP(TournamentData[[#This Row],[Team Number]],OfficialTeamList[Team Number],OfficialTeamList[Team Name],"",0,)</f>
        <v/>
      </c>
      <c r="C201" s="28">
        <f>IF(TournamentData[[#This Row],[Team Number]]="","",_xlfn.XLOOKUP(TournamentData[[#This Row],[Team Number]],RobotGameScores[Team Number],RobotGameScores[Match 1 Score],0,0,))</f>
        <v>0</v>
      </c>
      <c r="D201" s="28">
        <f>IF(TournamentData[[#This Row],[Team Number]]="","",_xlfn.XLOOKUP(TournamentData[[#This Row],[Team Number]],RobotGameScores[Team Number],RobotGameScores[Match 2 Score],0,0,))</f>
        <v>0</v>
      </c>
      <c r="E201" s="28">
        <f>IF(TournamentData[[#This Row],[Team Number]]="","",_xlfn.XLOOKUP(TournamentData[[#This Row],[Team Number]],RobotGameScores[Team Number],RobotGameScores[Match 3 Score],0,0,))</f>
        <v>0</v>
      </c>
      <c r="F201" s="28">
        <f>IF(TournamentData[[#This Row],[Team Number]]="","",_xlfn.XLOOKUP(TournamentData[[#This Row],[Team Number]],RobotGameScores[Team Number],RobotGameScores[Match 4 Score],0,0,))</f>
        <v>0</v>
      </c>
      <c r="G201" s="28">
        <f>IF(TournamentData[[#This Row],[Team Number]]="","",_xlfn.XLOOKUP(TournamentData[[#This Row],[Team Number]],RobotGameScores[Team Number],RobotGameScores[Match 5 Score],0,0,))</f>
        <v>0</v>
      </c>
      <c r="H201" s="28" t="str">
        <f>IF(TournamentData[[#This Row],[Team Name]]="","",_xlfn.XLOOKUP(TournamentData[[#This Row],[Team Name]],RobotGameScores[Team Name],RobotGameScores[Match 6 Score],0,0,))</f>
        <v/>
      </c>
      <c r="I201" s="28">
        <v>0</v>
      </c>
      <c r="J201" s="28">
        <f>SUM(TournamentData[[#This Row],[Match Score 1]:[Match Score 6]])/NumberOfRounds</f>
        <v>0</v>
      </c>
      <c r="K201" s="59">
        <f>IF(TournamentData[[#This Row],[Team Number]]="","",1+COUNTIFS($J$3:$J$201,"&gt;"&amp;J201)+COUNTIFS($J$3:$J$201,J201,$I$3:$I$201,"&gt;"&amp;I201))</f>
        <v>9</v>
      </c>
      <c r="L201" s="28">
        <f>IF(TournamentData[[#This Row],[Team Number]]="","",_xlfn.XLOOKUP(TournamentData[[#This Row],[Team Number]],CoreValuesResults[Team Number],CoreValuesResults[Core Values Rank],NumberOfTeams+1,0,))</f>
        <v>9</v>
      </c>
      <c r="M201" s="28">
        <f>IF(TournamentData[[#This Row],[Team Number]]="","",_xlfn.XLOOKUP(TournamentData[[#This Row],[Team Number]],InnovationProjectResults[Team Number],InnovationProjectResults[Innovation Project Rank],NumberOfTeams+1,0,))</f>
        <v>9</v>
      </c>
      <c r="N201" s="28">
        <f>IF(TournamentData[[#This Row],[Team Number]]="","",_xlfn.XLOOKUP(TournamentData[[#This Row],[Team Number]],RobotDesignResults[Team Number],RobotDesignResults[Engineering Design Rank],NumberOfTeams+1,0,))</f>
        <v>9</v>
      </c>
      <c r="O20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01" s="29">
        <f>IF(TournamentData[[#This Row],[Team Number]]="","",IF(O201,RANK(O201,O$3:O$202,1)-COUNTIF(O$3:O$202,0),NumberOfTeams+1))</f>
        <v>9</v>
      </c>
      <c r="Q201" s="30">
        <f>_xlfn.XLOOKUP(TournamentData[[#This Row],[Team Number]],CoreValuesResults[Team Number],CoreValuesResults[Inspiration Selection],0,0,)</f>
        <v>0</v>
      </c>
      <c r="R201" s="33">
        <f>_xlfn.XLOOKUP(TournamentData[[#This Row],[Team Number]],CoreValuesResults[Team Number],CoreValuesResults[Rising All-Star Selection],0,0,)</f>
        <v>0</v>
      </c>
      <c r="S20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01" s="31"/>
      <c r="U201" s="31"/>
      <c r="V201" s="32"/>
      <c r="W201" s="91">
        <f>_xlfn.XLOOKUP(TournamentData[[#This Row],[Team Number]],CoreValuesResults[Team Number],CoreValuesResults[Core Values Score],0,0,)</f>
        <v>0</v>
      </c>
      <c r="X201" s="91">
        <f>_xlfn.XLOOKUP(TournamentData[[#This Row],[Team Number]],InnovationProjectResults[Team Number],InnovationProjectResults[Innovation Project Score],0,0,)</f>
        <v>0</v>
      </c>
      <c r="Y201" s="91">
        <f>_xlfn.XLOOKUP(TournamentData[[#This Row],[Team Number]],RobotDesignResults[Team Number],RobotDesignResults[Engineering Design Score],0,0,)</f>
        <v>0</v>
      </c>
      <c r="Z20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01" s="31">
        <f t="shared" si="6"/>
        <v>8</v>
      </c>
      <c r="AB201" s="31"/>
    </row>
    <row r="202" spans="1:28" ht="21" customHeight="1" x14ac:dyDescent="0.25">
      <c r="A202">
        <f>_xlfn.XLOOKUP(200,OfficialTeamList[Row],OfficialTeamList[Team Number],"ERROR",0)</f>
        <v>0</v>
      </c>
      <c r="B202" s="27" t="str">
        <f>_xlfn.XLOOKUP(TournamentData[[#This Row],[Team Number]],OfficialTeamList[Team Number],OfficialTeamList[Team Name],"",0,)</f>
        <v/>
      </c>
      <c r="C202" s="28">
        <f>IF(TournamentData[[#This Row],[Team Number]]="","",_xlfn.XLOOKUP(TournamentData[[#This Row],[Team Number]],RobotGameScores[Team Number],RobotGameScores[Match 1 Score],0,0,))</f>
        <v>0</v>
      </c>
      <c r="D202" s="28">
        <f>IF(TournamentData[[#This Row],[Team Number]]="","",_xlfn.XLOOKUP(TournamentData[[#This Row],[Team Number]],RobotGameScores[Team Number],RobotGameScores[Match 2 Score],0,0,))</f>
        <v>0</v>
      </c>
      <c r="E202" s="28">
        <f>IF(TournamentData[[#This Row],[Team Number]]="","",_xlfn.XLOOKUP(TournamentData[[#This Row],[Team Number]],RobotGameScores[Team Number],RobotGameScores[Match 3 Score],0,0,))</f>
        <v>0</v>
      </c>
      <c r="F202" s="28">
        <f>IF(TournamentData[[#This Row],[Team Number]]="","",_xlfn.XLOOKUP(TournamentData[[#This Row],[Team Number]],RobotGameScores[Team Number],RobotGameScores[Match 4 Score],0,0,))</f>
        <v>0</v>
      </c>
      <c r="G202" s="28">
        <f>IF(TournamentData[[#This Row],[Team Number]]="","",_xlfn.XLOOKUP(TournamentData[[#This Row],[Team Number]],RobotGameScores[Team Number],RobotGameScores[Match 5 Score],0,0,))</f>
        <v>0</v>
      </c>
      <c r="H202" s="28" t="str">
        <f>IF(TournamentData[[#This Row],[Team Name]]="","",_xlfn.XLOOKUP(TournamentData[[#This Row],[Team Name]],RobotGameScores[Team Name],RobotGameScores[Match 6 Score],0,0,))</f>
        <v/>
      </c>
      <c r="I202" s="28">
        <v>0</v>
      </c>
      <c r="J202" s="28">
        <f>SUM(TournamentData[[#This Row],[Match Score 1]:[Match Score 6]])/NumberOfRounds</f>
        <v>0</v>
      </c>
      <c r="K202" s="60">
        <f>IF(TournamentData[[#This Row],[Team Number]]="","",1+COUNTIFS($J$3:$J$201,"&gt;"&amp;J202)+COUNTIFS($J$3:$J$201,J202,$I$3:$I$201,"&gt;"&amp;I202))</f>
        <v>9</v>
      </c>
      <c r="L202" s="28">
        <f>IF(TournamentData[[#This Row],[Team Number]]="","",_xlfn.XLOOKUP(TournamentData[[#This Row],[Team Number]],CoreValuesResults[Team Number],CoreValuesResults[Core Values Rank],NumberOfTeams+1,0,))</f>
        <v>9</v>
      </c>
      <c r="M202" s="28">
        <f>IF(TournamentData[[#This Row],[Team Number]]="","",_xlfn.XLOOKUP(TournamentData[[#This Row],[Team Number]],InnovationProjectResults[Team Number],InnovationProjectResults[Innovation Project Rank],NumberOfTeams+1,0,))</f>
        <v>9</v>
      </c>
      <c r="N202" s="28">
        <f>IF(TournamentData[[#This Row],[Team Number]]="","",_xlfn.XLOOKUP(TournamentData[[#This Row],[Team Number]],RobotDesignResults[Team Number],RobotDesignResults[Engineering Design Rank],NumberOfTeams+1,0,))</f>
        <v>9</v>
      </c>
      <c r="O20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02" s="29">
        <f>IF(TournamentData[[#This Row],[Team Number]]="","",IF(O202,RANK(O202,O$3:O$202,1)-COUNTIF(O$3:O$202,0),NumberOfTeams+1))</f>
        <v>9</v>
      </c>
      <c r="Q202" s="30">
        <f>_xlfn.XLOOKUP(TournamentData[[#This Row],[Team Number]],CoreValuesResults[Team Number],CoreValuesResults[Inspiration Selection],0,0,)</f>
        <v>0</v>
      </c>
      <c r="R202" s="33">
        <f>_xlfn.XLOOKUP(TournamentData[[#This Row],[Team Number]],CoreValuesResults[Team Number],CoreValuesResults[Rising All-Star Selection],0,0,)</f>
        <v>0</v>
      </c>
      <c r="S20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02" s="31"/>
      <c r="U202" s="31"/>
      <c r="V202" s="32"/>
      <c r="W202" s="91">
        <f>_xlfn.XLOOKUP(TournamentData[[#This Row],[Team Number]],CoreValuesResults[Team Number],CoreValuesResults[Core Values Score],0,0,)</f>
        <v>0</v>
      </c>
      <c r="X202" s="91">
        <f>_xlfn.XLOOKUP(TournamentData[[#This Row],[Team Number]],InnovationProjectResults[Team Number],InnovationProjectResults[Innovation Project Score],0,0,)</f>
        <v>0</v>
      </c>
      <c r="Y202" s="91">
        <f>_xlfn.XLOOKUP(TournamentData[[#This Row],[Team Number]],RobotDesignResults[Team Number],RobotDesignResults[Engineering Design Score],0,0,)</f>
        <v>0</v>
      </c>
      <c r="Z20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02" s="31">
        <f t="shared" si="6"/>
        <v>8</v>
      </c>
      <c r="AB202" s="31"/>
    </row>
  </sheetData>
  <sheetProtection algorithmName="SHA-512" hashValue="QHAV9HaCwwhJ3KnEsi/pLAv4CD2yCaO2nBJDkxdJCODovdEZgPLoQk80vvhQrzPkwvfwGsdhtC8DLO1uhtHDtA==" saltValue="8ASy4s57j2zRmI8LZBwyqw==" spinCount="100000" sheet="1" objects="1" scenarios="1"/>
  <mergeCells count="6">
    <mergeCell ref="W1:AA1"/>
    <mergeCell ref="A1:B1"/>
    <mergeCell ref="C1:K1"/>
    <mergeCell ref="L1:N1"/>
    <mergeCell ref="O1:S1"/>
    <mergeCell ref="T1:V1"/>
  </mergeCells>
  <phoneticPr fontId="27" type="noConversion"/>
  <conditionalFormatting sqref="A3:A202">
    <cfRule type="expression" dxfId="12" priority="3">
      <formula>IF($P3 &lt;= NumberofTeamsAdvancing,TRUE,FALSE)</formula>
    </cfRule>
  </conditionalFormatting>
  <conditionalFormatting sqref="B3:AB202">
    <cfRule type="expression" dxfId="11" priority="9">
      <formula>IF($T3&lt;&gt;"",TRUE,FALSE)</formula>
    </cfRule>
  </conditionalFormatting>
  <conditionalFormatting sqref="K1 K3:K202">
    <cfRule type="cellIs" dxfId="10" priority="4" operator="equal">
      <formula>3</formula>
    </cfRule>
    <cfRule type="cellIs" dxfId="9" priority="5" operator="equal">
      <formula>2</formula>
    </cfRule>
    <cfRule type="cellIs" dxfId="8" priority="6" operator="equal">
      <formula>1</formula>
    </cfRule>
  </conditionalFormatting>
  <conditionalFormatting sqref="Q3:S202">
    <cfRule type="cellIs" dxfId="7" priority="7" operator="greaterThan">
      <formula>0</formula>
    </cfRule>
  </conditionalFormatting>
  <conditionalFormatting sqref="V2">
    <cfRule type="expression" dxfId="6" priority="1">
      <formula>IF(COUNTIF($V:$V,"=Yes")&lt;&gt;NumberofTeamsAdvancing,1,0)</formula>
    </cfRule>
  </conditionalFormatting>
  <conditionalFormatting sqref="V3:V101">
    <cfRule type="cellIs" dxfId="5" priority="2" operator="equal">
      <formula>"Yes"</formula>
    </cfRule>
  </conditionalFormatting>
  <dataValidations disablePrompts="1" count="3">
    <dataValidation type="list" allowBlank="1" showInputMessage="1" showErrorMessage="1" sqref="U3:U202" xr:uid="{69A7B139-6867-4C9A-9AF5-56A93EEE9544}">
      <formula1>"1st,2nd,3rd,4th,5th"</formula1>
    </dataValidation>
    <dataValidation type="list" allowBlank="1" showInputMessage="1" showErrorMessage="1" sqref="V3:V202" xr:uid="{BDDF0FF5-E35E-40F4-AD10-6903F6A70057}">
      <formula1>"Yes, No"</formula1>
    </dataValidation>
    <dataValidation type="list" allowBlank="1" showInputMessage="1" showErrorMessage="1" sqref="T3:T202" xr:uid="{A3DCCFFF-2566-4D1C-9A52-57CC47F1793B}">
      <formula1>AwardListLookup</formula1>
    </dataValidation>
  </dataValidations>
  <pageMargins left="0.7" right="0.7" top="0.75" bottom="0.75" header="0.3" footer="0.3"/>
  <ignoredErrors>
    <ignoredError sqref="S3:S202" calculatedColumn="1"/>
  </ignoredErrors>
  <legacy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C677B-0431-4D7F-A9AE-EAEB308B43C2}">
  <sheetPr>
    <tabColor rgb="FF016DB6"/>
  </sheetPr>
  <dimension ref="A1:N201"/>
  <sheetViews>
    <sheetView showGridLines="0" workbookViewId="0">
      <selection activeCell="A10" sqref="A10"/>
    </sheetView>
  </sheetViews>
  <sheetFormatPr defaultRowHeight="15" x14ac:dyDescent="0.25"/>
  <cols>
    <col min="1" max="1" width="15.42578125" customWidth="1"/>
    <col min="2" max="2" width="32.42578125" customWidth="1"/>
    <col min="3" max="12" width="7.42578125" customWidth="1"/>
    <col min="13" max="13" width="10.42578125" customWidth="1"/>
    <col min="14" max="14" width="15.42578125" customWidth="1"/>
  </cols>
  <sheetData>
    <row r="1" spans="1:14" ht="169.9" customHeight="1" x14ac:dyDescent="0.25">
      <c r="A1" s="67" t="s">
        <v>12</v>
      </c>
      <c r="B1" s="65" t="s">
        <v>13</v>
      </c>
      <c r="C1" s="17" t="s">
        <v>125</v>
      </c>
      <c r="D1" s="17" t="s">
        <v>126</v>
      </c>
      <c r="E1" s="17" t="s">
        <v>127</v>
      </c>
      <c r="F1" s="17" t="s">
        <v>128</v>
      </c>
      <c r="G1" s="17" t="s">
        <v>130</v>
      </c>
      <c r="H1" s="17" t="s">
        <v>129</v>
      </c>
      <c r="I1" s="17" t="s">
        <v>131</v>
      </c>
      <c r="J1" s="17" t="s">
        <v>132</v>
      </c>
      <c r="K1" s="17" t="s">
        <v>133</v>
      </c>
      <c r="L1" s="52" t="s">
        <v>124</v>
      </c>
      <c r="M1" s="18" t="s">
        <v>38</v>
      </c>
      <c r="N1" s="19" t="s">
        <v>29</v>
      </c>
    </row>
    <row r="2" spans="1:14" ht="30" customHeight="1" x14ac:dyDescent="0.25">
      <c r="A2" s="8">
        <f>(_xlfn.XLOOKUP(1,OfficialTeamList[Row],OfficialTeamList[Team Number],"ERROR",0))</f>
        <v>1234</v>
      </c>
      <c r="B2" s="20" t="str">
        <f>_xlfn.XLOOKUP(InnovationProjectResults[[#This Row],[Team Number]],OfficialTeamList[Team Number],OfficialTeamList[Team Name],"",0,)</f>
        <v>Team 1</v>
      </c>
      <c r="C2" s="12">
        <v>1</v>
      </c>
      <c r="D2" s="12">
        <v>2</v>
      </c>
      <c r="E2" s="12">
        <v>3</v>
      </c>
      <c r="F2" s="12">
        <v>4</v>
      </c>
      <c r="G2" s="12">
        <v>5</v>
      </c>
      <c r="H2" s="12">
        <v>6</v>
      </c>
      <c r="I2" s="12">
        <v>7</v>
      </c>
      <c r="J2" s="12">
        <v>8</v>
      </c>
      <c r="K2" s="12">
        <v>9</v>
      </c>
      <c r="L2" s="12">
        <v>10</v>
      </c>
      <c r="M2" s="8">
        <f>SUM(InnovationProjectResults[[#This Row],[Explore 1]:[Communicate 2 (CV)]])</f>
        <v>55</v>
      </c>
      <c r="N2" s="21">
        <f>IF(InnovationProjectResults[[#This Row],[Team Number]]&gt;0,MIN(_xlfn.RANK.EQ(InnovationProjectResults[[#This Row],[Innovation Project Score]],InnovationProjectResults[Innovation Project Score],0),NumberOfTeams),NumberOfTeams+1)</f>
        <v>1</v>
      </c>
    </row>
    <row r="3" spans="1:14" ht="30" customHeight="1" x14ac:dyDescent="0.25">
      <c r="A3" s="8">
        <f>(_xlfn.XLOOKUP(2,OfficialTeamList[Row],OfficialTeamList[Team Number],"ERROR",0))</f>
        <v>2345</v>
      </c>
      <c r="B3" s="20" t="str">
        <f>_xlfn.XLOOKUP(InnovationProjectResults[[#This Row],[Team Number]],OfficialTeamList[Team Number],OfficialTeamList[Team Name],"",0,)</f>
        <v>Team 2</v>
      </c>
      <c r="C3" s="12">
        <v>4</v>
      </c>
      <c r="D3" s="12">
        <v>2</v>
      </c>
      <c r="E3" s="12">
        <v>2</v>
      </c>
      <c r="F3" s="12">
        <v>3</v>
      </c>
      <c r="G3" s="12">
        <v>4</v>
      </c>
      <c r="H3" s="12">
        <v>3</v>
      </c>
      <c r="I3" s="12">
        <v>1</v>
      </c>
      <c r="J3" s="12">
        <v>3</v>
      </c>
      <c r="K3" s="12">
        <v>3</v>
      </c>
      <c r="L3" s="12">
        <v>1</v>
      </c>
      <c r="M3" s="8">
        <f>SUM(InnovationProjectResults[[#This Row],[Explore 1]:[Communicate 2 (CV)]])</f>
        <v>26</v>
      </c>
      <c r="N3" s="21">
        <f>IF(InnovationProjectResults[[#This Row],[Team Number]]&gt;0,MIN(_xlfn.RANK.EQ(InnovationProjectResults[[#This Row],[Innovation Project Score]],InnovationProjectResults[Innovation Project Score],0),NumberOfTeams),NumberOfTeams+1)</f>
        <v>7</v>
      </c>
    </row>
    <row r="4" spans="1:14" ht="30" customHeight="1" x14ac:dyDescent="0.25">
      <c r="A4" s="8">
        <f>(_xlfn.XLOOKUP(3,OfficialTeamList[Row],OfficialTeamList[Team Number],"ERROR",0))</f>
        <v>3456</v>
      </c>
      <c r="B4" s="20" t="str">
        <f>_xlfn.XLOOKUP(InnovationProjectResults[[#This Row],[Team Number]],OfficialTeamList[Team Number],OfficialTeamList[Team Name],"",0,)</f>
        <v>Team 3</v>
      </c>
      <c r="C4" s="12">
        <v>3</v>
      </c>
      <c r="D4" s="12">
        <v>3</v>
      </c>
      <c r="E4" s="12">
        <v>3</v>
      </c>
      <c r="F4" s="12">
        <v>4</v>
      </c>
      <c r="G4" s="12">
        <v>3</v>
      </c>
      <c r="H4" s="12">
        <v>4</v>
      </c>
      <c r="I4" s="12">
        <v>2</v>
      </c>
      <c r="J4" s="12">
        <v>3</v>
      </c>
      <c r="K4" s="12">
        <v>4</v>
      </c>
      <c r="L4" s="12">
        <v>2</v>
      </c>
      <c r="M4" s="8">
        <f>SUM(InnovationProjectResults[[#This Row],[Explore 1]:[Communicate 2 (CV)]])</f>
        <v>31</v>
      </c>
      <c r="N4" s="21">
        <f>IF(InnovationProjectResults[[#This Row],[Team Number]]&gt;0,MIN(_xlfn.RANK.EQ(InnovationProjectResults[[#This Row],[Innovation Project Score]],InnovationProjectResults[Innovation Project Score],0),NumberOfTeams),NumberOfTeams+1)</f>
        <v>3</v>
      </c>
    </row>
    <row r="5" spans="1:14" ht="30" customHeight="1" x14ac:dyDescent="0.25">
      <c r="A5" s="8">
        <f>_xlfn.XLOOKUP(4,OfficialTeamList[Row],OfficialTeamList[Team Number],"ERROR",0)</f>
        <v>235</v>
      </c>
      <c r="B5" s="20" t="str">
        <f>_xlfn.XLOOKUP(InnovationProjectResults[[#This Row],[Team Number]],OfficialTeamList[Team Number],OfficialTeamList[Team Name],"",0,)</f>
        <v>Team 4</v>
      </c>
      <c r="C5" s="12">
        <v>4</v>
      </c>
      <c r="D5" s="12">
        <v>4</v>
      </c>
      <c r="E5" s="12">
        <v>4</v>
      </c>
      <c r="F5" s="12">
        <v>1</v>
      </c>
      <c r="G5" s="12">
        <v>4</v>
      </c>
      <c r="H5" s="12">
        <v>1</v>
      </c>
      <c r="I5" s="12">
        <v>4</v>
      </c>
      <c r="J5" s="12">
        <v>2</v>
      </c>
      <c r="K5" s="12">
        <v>1</v>
      </c>
      <c r="L5" s="12">
        <v>4</v>
      </c>
      <c r="M5" s="8">
        <f>SUM(InnovationProjectResults[[#This Row],[Explore 1]:[Communicate 2 (CV)]])</f>
        <v>29</v>
      </c>
      <c r="N5" s="21">
        <f>IF(InnovationProjectResults[[#This Row],[Team Number]]&gt;0,MIN(_xlfn.RANK.EQ(InnovationProjectResults[[#This Row],[Innovation Project Score]],InnovationProjectResults[Innovation Project Score],0),NumberOfTeams),NumberOfTeams+1)</f>
        <v>6</v>
      </c>
    </row>
    <row r="6" spans="1:14" ht="30" customHeight="1" x14ac:dyDescent="0.25">
      <c r="A6" s="8">
        <f>_xlfn.XLOOKUP(5,OfficialTeamList[Row],OfficialTeamList[Team Number],"ERROR",0)</f>
        <v>1232</v>
      </c>
      <c r="B6" s="20" t="str">
        <f>_xlfn.XLOOKUP(InnovationProjectResults[[#This Row],[Team Number]],OfficialTeamList[Team Number],OfficialTeamList[Team Name],"",0,)</f>
        <v>Team 5</v>
      </c>
      <c r="C6" s="12">
        <v>4</v>
      </c>
      <c r="D6" s="12">
        <v>2</v>
      </c>
      <c r="E6" s="12">
        <v>2</v>
      </c>
      <c r="F6" s="12">
        <v>3</v>
      </c>
      <c r="G6" s="12">
        <v>4</v>
      </c>
      <c r="H6" s="12">
        <v>3</v>
      </c>
      <c r="I6" s="12">
        <v>4</v>
      </c>
      <c r="J6" s="12">
        <v>2</v>
      </c>
      <c r="K6" s="12">
        <v>3</v>
      </c>
      <c r="L6" s="12">
        <v>4</v>
      </c>
      <c r="M6" s="8">
        <f>SUM(InnovationProjectResults[[#This Row],[Explore 1]:[Communicate 2 (CV)]])</f>
        <v>31</v>
      </c>
      <c r="N6" s="21">
        <f>IF(InnovationProjectResults[[#This Row],[Team Number]]&gt;0,MIN(_xlfn.RANK.EQ(InnovationProjectResults[[#This Row],[Innovation Project Score]],InnovationProjectResults[Innovation Project Score],0),NumberOfTeams),NumberOfTeams+1)</f>
        <v>3</v>
      </c>
    </row>
    <row r="7" spans="1:14" ht="30" customHeight="1" x14ac:dyDescent="0.25">
      <c r="A7" s="8">
        <f>_xlfn.XLOOKUP(6,OfficialTeamList[Row],OfficialTeamList[Team Number],"ERROR",0)</f>
        <v>6262</v>
      </c>
      <c r="B7" s="20" t="str">
        <f>_xlfn.XLOOKUP(InnovationProjectResults[[#This Row],[Team Number]],OfficialTeamList[Team Number],OfficialTeamList[Team Name],"",0,)</f>
        <v>Team 6</v>
      </c>
      <c r="C7" s="12">
        <v>3</v>
      </c>
      <c r="D7" s="12">
        <v>3</v>
      </c>
      <c r="E7" s="12">
        <v>1</v>
      </c>
      <c r="F7" s="12">
        <v>2</v>
      </c>
      <c r="G7" s="12">
        <v>3</v>
      </c>
      <c r="H7" s="12">
        <v>2</v>
      </c>
      <c r="I7" s="12">
        <v>2</v>
      </c>
      <c r="J7" s="12">
        <v>4</v>
      </c>
      <c r="K7" s="12">
        <v>2</v>
      </c>
      <c r="L7" s="12">
        <v>2</v>
      </c>
      <c r="M7" s="8">
        <f>SUM(InnovationProjectResults[[#This Row],[Explore 1]:[Communicate 2 (CV)]])</f>
        <v>24</v>
      </c>
      <c r="N7" s="21">
        <f>IF(InnovationProjectResults[[#This Row],[Team Number]]&gt;0,MIN(_xlfn.RANK.EQ(InnovationProjectResults[[#This Row],[Innovation Project Score]],InnovationProjectResults[Innovation Project Score],0),NumberOfTeams),NumberOfTeams+1)</f>
        <v>8</v>
      </c>
    </row>
    <row r="8" spans="1:14" ht="30" customHeight="1" x14ac:dyDescent="0.25">
      <c r="A8" s="8">
        <f>_xlfn.XLOOKUP(7,OfficialTeamList[Row],OfficialTeamList[Team Number],"ERROR",0)</f>
        <v>46844</v>
      </c>
      <c r="B8" s="20" t="str">
        <f>_xlfn.XLOOKUP(InnovationProjectResults[[#This Row],[Team Number]],OfficialTeamList[Team Number],OfficialTeamList[Team Name],"",0,)</f>
        <v>Team 7</v>
      </c>
      <c r="C8" s="12">
        <v>3</v>
      </c>
      <c r="D8" s="12">
        <v>4</v>
      </c>
      <c r="E8" s="12">
        <v>2</v>
      </c>
      <c r="F8" s="12">
        <v>3</v>
      </c>
      <c r="G8" s="12">
        <v>3</v>
      </c>
      <c r="H8" s="12">
        <v>3</v>
      </c>
      <c r="I8" s="12">
        <v>3</v>
      </c>
      <c r="J8" s="12">
        <v>3</v>
      </c>
      <c r="K8" s="12">
        <v>3</v>
      </c>
      <c r="L8" s="12">
        <v>3</v>
      </c>
      <c r="M8" s="8">
        <f>SUM(InnovationProjectResults[[#This Row],[Explore 1]:[Communicate 2 (CV)]])</f>
        <v>30</v>
      </c>
      <c r="N8" s="21">
        <f>IF(InnovationProjectResults[[#This Row],[Team Number]]&gt;0,MIN(_xlfn.RANK.EQ(InnovationProjectResults[[#This Row],[Innovation Project Score]],InnovationProjectResults[Innovation Project Score],0),NumberOfTeams),NumberOfTeams+1)</f>
        <v>5</v>
      </c>
    </row>
    <row r="9" spans="1:14" ht="30" customHeight="1" x14ac:dyDescent="0.25">
      <c r="A9" s="8">
        <f>_xlfn.XLOOKUP(8,OfficialTeamList[Row],OfficialTeamList[Team Number],"ERROR",0)</f>
        <v>26466</v>
      </c>
      <c r="B9" s="20" t="str">
        <f>_xlfn.XLOOKUP(InnovationProjectResults[[#This Row],[Team Number]],OfficialTeamList[Team Number],OfficialTeamList[Team Name],"",0,)</f>
        <v>Team 8</v>
      </c>
      <c r="C9" s="12">
        <v>2</v>
      </c>
      <c r="D9" s="12">
        <v>1</v>
      </c>
      <c r="E9" s="12">
        <v>4</v>
      </c>
      <c r="F9" s="12">
        <v>4</v>
      </c>
      <c r="G9" s="12">
        <v>2</v>
      </c>
      <c r="H9" s="12">
        <v>4</v>
      </c>
      <c r="I9" s="12">
        <v>4</v>
      </c>
      <c r="J9" s="12">
        <v>4</v>
      </c>
      <c r="K9" s="12">
        <v>4</v>
      </c>
      <c r="L9" s="12">
        <v>4</v>
      </c>
      <c r="M9" s="8">
        <f>SUM(InnovationProjectResults[[#This Row],[Explore 1]:[Communicate 2 (CV)]])</f>
        <v>33</v>
      </c>
      <c r="N9" s="21">
        <f>IF(InnovationProjectResults[[#This Row],[Team Number]]&gt;0,MIN(_xlfn.RANK.EQ(InnovationProjectResults[[#This Row],[Innovation Project Score]],InnovationProjectResults[Innovation Project Score],0),NumberOfTeams),NumberOfTeams+1)</f>
        <v>2</v>
      </c>
    </row>
    <row r="10" spans="1:14" ht="30" customHeight="1" x14ac:dyDescent="0.25">
      <c r="A10" s="8">
        <f>_xlfn.XLOOKUP(9,OfficialTeamList[Row],OfficialTeamList[Team Number],"ERROR",0)</f>
        <v>0</v>
      </c>
      <c r="B10" s="20" t="str">
        <f>_xlfn.XLOOKUP(InnovationProjectResults[[#This Row],[Team Number]],OfficialTeamList[Team Number],OfficialTeamList[Team Name],"",0,)</f>
        <v/>
      </c>
      <c r="C10" s="12"/>
      <c r="D10" s="12"/>
      <c r="E10" s="12"/>
      <c r="F10" s="12"/>
      <c r="G10" s="12"/>
      <c r="H10" s="22"/>
      <c r="I10" s="22"/>
      <c r="J10" s="22"/>
      <c r="K10" s="22"/>
      <c r="L10" s="22"/>
      <c r="M10" s="8">
        <f>SUM(InnovationProjectResults[[#This Row],[Explore 1]:[Communicate 2 (CV)]])</f>
        <v>0</v>
      </c>
      <c r="N10" s="21">
        <f>IF(InnovationProjectResults[[#This Row],[Team Number]]&gt;0,MIN(_xlfn.RANK.EQ(InnovationProjectResults[[#This Row],[Innovation Project Score]],InnovationProjectResults[Innovation Project Score],0),NumberOfTeams),NumberOfTeams+1)</f>
        <v>9</v>
      </c>
    </row>
    <row r="11" spans="1:14" ht="30" customHeight="1" x14ac:dyDescent="0.25">
      <c r="A11" s="8">
        <f>_xlfn.XLOOKUP(10,OfficialTeamList[Row],OfficialTeamList[Team Number],"ERROR",0)</f>
        <v>0</v>
      </c>
      <c r="B11" s="20" t="str">
        <f>_xlfn.XLOOKUP(InnovationProjectResults[[#This Row],[Team Number]],OfficialTeamList[Team Number],OfficialTeamList[Team Name],"",0,)</f>
        <v/>
      </c>
      <c r="C11" s="12"/>
      <c r="D11" s="12"/>
      <c r="E11" s="12"/>
      <c r="F11" s="12"/>
      <c r="G11" s="12"/>
      <c r="H11" s="22"/>
      <c r="I11" s="22"/>
      <c r="J11" s="22"/>
      <c r="K11" s="22"/>
      <c r="L11" s="22"/>
      <c r="M11" s="8">
        <f>SUM(InnovationProjectResults[[#This Row],[Explore 1]:[Communicate 2 (CV)]])</f>
        <v>0</v>
      </c>
      <c r="N11" s="21">
        <f>IF(InnovationProjectResults[[#This Row],[Team Number]]&gt;0,MIN(_xlfn.RANK.EQ(InnovationProjectResults[[#This Row],[Innovation Project Score]],InnovationProjectResults[Innovation Project Score],0),NumberOfTeams),NumberOfTeams+1)</f>
        <v>9</v>
      </c>
    </row>
    <row r="12" spans="1:14" ht="30" customHeight="1" x14ac:dyDescent="0.25">
      <c r="A12" s="8">
        <f>_xlfn.XLOOKUP(11,OfficialTeamList[Row],OfficialTeamList[Team Number],"ERROR",0)</f>
        <v>0</v>
      </c>
      <c r="B12" s="20" t="str">
        <f>_xlfn.XLOOKUP(InnovationProjectResults[[#This Row],[Team Number]],OfficialTeamList[Team Number],OfficialTeamList[Team Name],"",0,)</f>
        <v/>
      </c>
      <c r="C12" s="12"/>
      <c r="D12" s="12"/>
      <c r="E12" s="12"/>
      <c r="F12" s="12"/>
      <c r="G12" s="12"/>
      <c r="H12" s="22"/>
      <c r="I12" s="22"/>
      <c r="J12" s="22"/>
      <c r="K12" s="22"/>
      <c r="L12" s="22"/>
      <c r="M12" s="8">
        <f>SUM(InnovationProjectResults[[#This Row],[Explore 1]:[Communicate 2 (CV)]])</f>
        <v>0</v>
      </c>
      <c r="N12" s="21">
        <f>IF(InnovationProjectResults[[#This Row],[Team Number]]&gt;0,MIN(_xlfn.RANK.EQ(InnovationProjectResults[[#This Row],[Innovation Project Score]],InnovationProjectResults[Innovation Project Score],0),NumberOfTeams),NumberOfTeams+1)</f>
        <v>9</v>
      </c>
    </row>
    <row r="13" spans="1:14" ht="30" customHeight="1" x14ac:dyDescent="0.25">
      <c r="A13" s="8">
        <f>_xlfn.XLOOKUP(12,OfficialTeamList[Row],OfficialTeamList[Team Number],"ERROR",0)</f>
        <v>0</v>
      </c>
      <c r="B13" s="20" t="str">
        <f>_xlfn.XLOOKUP(InnovationProjectResults[[#This Row],[Team Number]],OfficialTeamList[Team Number],OfficialTeamList[Team Name],"",0,)</f>
        <v/>
      </c>
      <c r="C13" s="12"/>
      <c r="D13" s="12"/>
      <c r="E13" s="12"/>
      <c r="F13" s="12"/>
      <c r="G13" s="12"/>
      <c r="H13" s="22"/>
      <c r="I13" s="22"/>
      <c r="J13" s="22"/>
      <c r="K13" s="22"/>
      <c r="L13" s="22"/>
      <c r="M13" s="8">
        <f>SUM(InnovationProjectResults[[#This Row],[Explore 1]:[Communicate 2 (CV)]])</f>
        <v>0</v>
      </c>
      <c r="N13" s="21">
        <f>IF(InnovationProjectResults[[#This Row],[Team Number]]&gt;0,MIN(_xlfn.RANK.EQ(InnovationProjectResults[[#This Row],[Innovation Project Score]],InnovationProjectResults[Innovation Project Score],0),NumberOfTeams),NumberOfTeams+1)</f>
        <v>9</v>
      </c>
    </row>
    <row r="14" spans="1:14" ht="30" customHeight="1" x14ac:dyDescent="0.25">
      <c r="A14" s="8">
        <f>_xlfn.XLOOKUP(13,OfficialTeamList[Row],OfficialTeamList[Team Number],"ERROR",0)</f>
        <v>0</v>
      </c>
      <c r="B14" s="20" t="str">
        <f>_xlfn.XLOOKUP(InnovationProjectResults[[#This Row],[Team Number]],OfficialTeamList[Team Number],OfficialTeamList[Team Name],"",0,)</f>
        <v/>
      </c>
      <c r="C14" s="12"/>
      <c r="D14" s="12"/>
      <c r="E14" s="12"/>
      <c r="F14" s="12"/>
      <c r="G14" s="12"/>
      <c r="H14" s="12"/>
      <c r="I14" s="12"/>
      <c r="J14" s="12"/>
      <c r="K14" s="12"/>
      <c r="L14" s="12"/>
      <c r="M14" s="8">
        <f>SUM(InnovationProjectResults[[#This Row],[Explore 1]:[Communicate 2 (CV)]])</f>
        <v>0</v>
      </c>
      <c r="N14" s="21">
        <f>IF(InnovationProjectResults[[#This Row],[Team Number]]&gt;0,MIN(_xlfn.RANK.EQ(InnovationProjectResults[[#This Row],[Innovation Project Score]],InnovationProjectResults[Innovation Project Score],0),NumberOfTeams),NumberOfTeams+1)</f>
        <v>9</v>
      </c>
    </row>
    <row r="15" spans="1:14" ht="30" customHeight="1" x14ac:dyDescent="0.25">
      <c r="A15" s="8">
        <f>_xlfn.XLOOKUP(14,OfficialTeamList[Row],OfficialTeamList[Team Number],"ERROR",0)</f>
        <v>0</v>
      </c>
      <c r="B15" s="20" t="str">
        <f>_xlfn.XLOOKUP(InnovationProjectResults[[#This Row],[Team Number]],OfficialTeamList[Team Number],OfficialTeamList[Team Name],"",0,)</f>
        <v/>
      </c>
      <c r="C15" s="12"/>
      <c r="D15" s="12"/>
      <c r="E15" s="12"/>
      <c r="F15" s="12"/>
      <c r="G15" s="12"/>
      <c r="H15" s="12"/>
      <c r="I15" s="12"/>
      <c r="J15" s="12"/>
      <c r="K15" s="12"/>
      <c r="L15" s="12"/>
      <c r="M15" s="8">
        <f>SUM(InnovationProjectResults[[#This Row],[Explore 1]:[Communicate 2 (CV)]])</f>
        <v>0</v>
      </c>
      <c r="N15" s="21">
        <f>IF(InnovationProjectResults[[#This Row],[Team Number]]&gt;0,MIN(_xlfn.RANK.EQ(InnovationProjectResults[[#This Row],[Innovation Project Score]],InnovationProjectResults[Innovation Project Score],0),NumberOfTeams),NumberOfTeams+1)</f>
        <v>9</v>
      </c>
    </row>
    <row r="16" spans="1:14" ht="30" customHeight="1" x14ac:dyDescent="0.25">
      <c r="A16" s="8">
        <f>_xlfn.XLOOKUP(15,OfficialTeamList[Row],OfficialTeamList[Team Number],"ERROR",0)</f>
        <v>0</v>
      </c>
      <c r="B16" s="20" t="str">
        <f>_xlfn.XLOOKUP(InnovationProjectResults[[#This Row],[Team Number]],OfficialTeamList[Team Number],OfficialTeamList[Team Name],"",0,)</f>
        <v/>
      </c>
      <c r="C16" s="12"/>
      <c r="D16" s="12"/>
      <c r="E16" s="12"/>
      <c r="F16" s="12"/>
      <c r="G16" s="12"/>
      <c r="H16" s="12"/>
      <c r="I16" s="12"/>
      <c r="J16" s="12"/>
      <c r="K16" s="12"/>
      <c r="L16" s="12"/>
      <c r="M16" s="8">
        <f>SUM(InnovationProjectResults[[#This Row],[Explore 1]:[Communicate 2 (CV)]])</f>
        <v>0</v>
      </c>
      <c r="N16" s="21">
        <f>IF(InnovationProjectResults[[#This Row],[Team Number]]&gt;0,MIN(_xlfn.RANK.EQ(InnovationProjectResults[[#This Row],[Innovation Project Score]],InnovationProjectResults[Innovation Project Score],0),NumberOfTeams),NumberOfTeams+1)</f>
        <v>9</v>
      </c>
    </row>
    <row r="17" spans="1:14" ht="30" customHeight="1" x14ac:dyDescent="0.25">
      <c r="A17" s="8">
        <f>_xlfn.XLOOKUP(16,OfficialTeamList[Row],OfficialTeamList[Team Number],"ERROR",0)</f>
        <v>0</v>
      </c>
      <c r="B17" s="20" t="str">
        <f>_xlfn.XLOOKUP(InnovationProjectResults[[#This Row],[Team Number]],OfficialTeamList[Team Number],OfficialTeamList[Team Name],"",0,)</f>
        <v/>
      </c>
      <c r="C17" s="12"/>
      <c r="D17" s="12"/>
      <c r="E17" s="12"/>
      <c r="F17" s="12"/>
      <c r="G17" s="12"/>
      <c r="H17" s="12"/>
      <c r="I17" s="12"/>
      <c r="J17" s="12"/>
      <c r="K17" s="12"/>
      <c r="L17" s="12"/>
      <c r="M17" s="8">
        <f>SUM(InnovationProjectResults[[#This Row],[Explore 1]:[Communicate 2 (CV)]])</f>
        <v>0</v>
      </c>
      <c r="N17" s="21">
        <f>IF(InnovationProjectResults[[#This Row],[Team Number]]&gt;0,MIN(_xlfn.RANK.EQ(InnovationProjectResults[[#This Row],[Innovation Project Score]],InnovationProjectResults[Innovation Project Score],0),NumberOfTeams),NumberOfTeams+1)</f>
        <v>9</v>
      </c>
    </row>
    <row r="18" spans="1:14" ht="30" customHeight="1" x14ac:dyDescent="0.25">
      <c r="A18" s="8">
        <f>_xlfn.XLOOKUP(17,OfficialTeamList[Row],OfficialTeamList[Team Number],"ERROR",0)</f>
        <v>0</v>
      </c>
      <c r="B18" s="20" t="str">
        <f>_xlfn.XLOOKUP(InnovationProjectResults[[#This Row],[Team Number]],OfficialTeamList[Team Number],OfficialTeamList[Team Name],"",0,)</f>
        <v/>
      </c>
      <c r="C18" s="12"/>
      <c r="D18" s="12"/>
      <c r="E18" s="12"/>
      <c r="F18" s="12"/>
      <c r="G18" s="12"/>
      <c r="H18" s="12"/>
      <c r="I18" s="12"/>
      <c r="J18" s="12"/>
      <c r="K18" s="12"/>
      <c r="L18" s="12"/>
      <c r="M18" s="8">
        <f>SUM(InnovationProjectResults[[#This Row],[Explore 1]:[Communicate 2 (CV)]])</f>
        <v>0</v>
      </c>
      <c r="N18" s="21">
        <f>IF(InnovationProjectResults[[#This Row],[Team Number]]&gt;0,MIN(_xlfn.RANK.EQ(InnovationProjectResults[[#This Row],[Innovation Project Score]],InnovationProjectResults[Innovation Project Score],0),NumberOfTeams),NumberOfTeams+1)</f>
        <v>9</v>
      </c>
    </row>
    <row r="19" spans="1:14" ht="30" customHeight="1" x14ac:dyDescent="0.25">
      <c r="A19" s="8">
        <f>_xlfn.XLOOKUP(18,OfficialTeamList[Row],OfficialTeamList[Team Number],"ERROR",0)</f>
        <v>0</v>
      </c>
      <c r="B19" s="20" t="str">
        <f>_xlfn.XLOOKUP(InnovationProjectResults[[#This Row],[Team Number]],OfficialTeamList[Team Number],OfficialTeamList[Team Name],"",0,)</f>
        <v/>
      </c>
      <c r="C19" s="12"/>
      <c r="D19" s="12"/>
      <c r="E19" s="12"/>
      <c r="F19" s="12"/>
      <c r="G19" s="12"/>
      <c r="H19" s="12"/>
      <c r="I19" s="12"/>
      <c r="J19" s="12"/>
      <c r="K19" s="12"/>
      <c r="L19" s="12"/>
      <c r="M19" s="8">
        <f>SUM(InnovationProjectResults[[#This Row],[Explore 1]:[Communicate 2 (CV)]])</f>
        <v>0</v>
      </c>
      <c r="N19" s="21">
        <f>IF(InnovationProjectResults[[#This Row],[Team Number]]&gt;0,MIN(_xlfn.RANK.EQ(InnovationProjectResults[[#This Row],[Innovation Project Score]],InnovationProjectResults[Innovation Project Score],0),NumberOfTeams),NumberOfTeams+1)</f>
        <v>9</v>
      </c>
    </row>
    <row r="20" spans="1:14" ht="30" customHeight="1" x14ac:dyDescent="0.25">
      <c r="A20" s="8">
        <f>_xlfn.XLOOKUP(19,OfficialTeamList[Row],OfficialTeamList[Team Number],"ERROR",0)</f>
        <v>0</v>
      </c>
      <c r="B20" s="20" t="str">
        <f>_xlfn.XLOOKUP(InnovationProjectResults[[#This Row],[Team Number]],OfficialTeamList[Team Number],OfficialTeamList[Team Name],"",0,)</f>
        <v/>
      </c>
      <c r="C20" s="12"/>
      <c r="D20" s="12"/>
      <c r="E20" s="12"/>
      <c r="F20" s="12"/>
      <c r="G20" s="12"/>
      <c r="H20" s="12"/>
      <c r="I20" s="12"/>
      <c r="J20" s="12"/>
      <c r="K20" s="12"/>
      <c r="L20" s="12"/>
      <c r="M20" s="8">
        <f>SUM(InnovationProjectResults[[#This Row],[Explore 1]:[Communicate 2 (CV)]])</f>
        <v>0</v>
      </c>
      <c r="N20" s="21">
        <f>IF(InnovationProjectResults[[#This Row],[Team Number]]&gt;0,MIN(_xlfn.RANK.EQ(InnovationProjectResults[[#This Row],[Innovation Project Score]],InnovationProjectResults[Innovation Project Score],0),NumberOfTeams),NumberOfTeams+1)</f>
        <v>9</v>
      </c>
    </row>
    <row r="21" spans="1:14" ht="30" customHeight="1" x14ac:dyDescent="0.25">
      <c r="A21" s="8">
        <f>_xlfn.XLOOKUP(20,OfficialTeamList[Row],OfficialTeamList[Team Number],"ERROR",0)</f>
        <v>0</v>
      </c>
      <c r="B21" s="20" t="str">
        <f>_xlfn.XLOOKUP(InnovationProjectResults[[#This Row],[Team Number]],OfficialTeamList[Team Number],OfficialTeamList[Team Name],"",0,)</f>
        <v/>
      </c>
      <c r="C21" s="12"/>
      <c r="D21" s="12"/>
      <c r="E21" s="12"/>
      <c r="F21" s="12"/>
      <c r="G21" s="12"/>
      <c r="H21" s="12"/>
      <c r="I21" s="12"/>
      <c r="J21" s="12"/>
      <c r="K21" s="12"/>
      <c r="L21" s="12"/>
      <c r="M21" s="8">
        <f>SUM(InnovationProjectResults[[#This Row],[Explore 1]:[Communicate 2 (CV)]])</f>
        <v>0</v>
      </c>
      <c r="N21" s="21">
        <f>IF(InnovationProjectResults[[#This Row],[Team Number]]&gt;0,MIN(_xlfn.RANK.EQ(InnovationProjectResults[[#This Row],[Innovation Project Score]],InnovationProjectResults[Innovation Project Score],0),NumberOfTeams),NumberOfTeams+1)</f>
        <v>9</v>
      </c>
    </row>
    <row r="22" spans="1:14" ht="30" customHeight="1" x14ac:dyDescent="0.25">
      <c r="A22" s="8">
        <f>_xlfn.XLOOKUP(21,OfficialTeamList[Row],OfficialTeamList[Team Number],"ERROR",0)</f>
        <v>0</v>
      </c>
      <c r="B22" s="20" t="str">
        <f>_xlfn.XLOOKUP(InnovationProjectResults[[#This Row],[Team Number]],OfficialTeamList[Team Number],OfficialTeamList[Team Name],"",0,)</f>
        <v/>
      </c>
      <c r="C22" s="12"/>
      <c r="D22" s="12"/>
      <c r="E22" s="12"/>
      <c r="F22" s="12"/>
      <c r="G22" s="12"/>
      <c r="H22" s="12"/>
      <c r="I22" s="12"/>
      <c r="J22" s="12"/>
      <c r="K22" s="12"/>
      <c r="L22" s="12"/>
      <c r="M22" s="8">
        <f>SUM(InnovationProjectResults[[#This Row],[Explore 1]:[Communicate 2 (CV)]])</f>
        <v>0</v>
      </c>
      <c r="N22" s="21">
        <f>IF(InnovationProjectResults[[#This Row],[Team Number]]&gt;0,MIN(_xlfn.RANK.EQ(InnovationProjectResults[[#This Row],[Innovation Project Score]],InnovationProjectResults[Innovation Project Score],0),NumberOfTeams),NumberOfTeams+1)</f>
        <v>9</v>
      </c>
    </row>
    <row r="23" spans="1:14" ht="30" customHeight="1" x14ac:dyDescent="0.25">
      <c r="A23" s="8">
        <f>_xlfn.XLOOKUP(22,OfficialTeamList[Row],OfficialTeamList[Team Number],"ERROR",0)</f>
        <v>0</v>
      </c>
      <c r="B23" s="20" t="str">
        <f>_xlfn.XLOOKUP(InnovationProjectResults[[#This Row],[Team Number]],OfficialTeamList[Team Number],OfficialTeamList[Team Name],"",0,)</f>
        <v/>
      </c>
      <c r="C23" s="12"/>
      <c r="D23" s="12"/>
      <c r="E23" s="12"/>
      <c r="F23" s="12"/>
      <c r="G23" s="12"/>
      <c r="H23" s="12"/>
      <c r="I23" s="12"/>
      <c r="J23" s="12"/>
      <c r="K23" s="12"/>
      <c r="L23" s="12"/>
      <c r="M23" s="8">
        <f>SUM(InnovationProjectResults[[#This Row],[Explore 1]:[Communicate 2 (CV)]])</f>
        <v>0</v>
      </c>
      <c r="N23" s="21">
        <f>IF(InnovationProjectResults[[#This Row],[Team Number]]&gt;0,MIN(_xlfn.RANK.EQ(InnovationProjectResults[[#This Row],[Innovation Project Score]],InnovationProjectResults[Innovation Project Score],0),NumberOfTeams),NumberOfTeams+1)</f>
        <v>9</v>
      </c>
    </row>
    <row r="24" spans="1:14" ht="30" customHeight="1" x14ac:dyDescent="0.25">
      <c r="A24" s="8">
        <f>_xlfn.XLOOKUP(23,OfficialTeamList[Row],OfficialTeamList[Team Number],"ERROR",0)</f>
        <v>0</v>
      </c>
      <c r="B24" s="20" t="str">
        <f>_xlfn.XLOOKUP(InnovationProjectResults[[#This Row],[Team Number]],OfficialTeamList[Team Number],OfficialTeamList[Team Name],"",0,)</f>
        <v/>
      </c>
      <c r="C24" s="12"/>
      <c r="D24" s="12"/>
      <c r="E24" s="12"/>
      <c r="F24" s="12"/>
      <c r="G24" s="12"/>
      <c r="H24" s="12"/>
      <c r="I24" s="12"/>
      <c r="J24" s="12"/>
      <c r="K24" s="12"/>
      <c r="L24" s="12"/>
      <c r="M24" s="8">
        <f>SUM(InnovationProjectResults[[#This Row],[Explore 1]:[Communicate 2 (CV)]])</f>
        <v>0</v>
      </c>
      <c r="N24" s="21">
        <f>IF(InnovationProjectResults[[#This Row],[Team Number]]&gt;0,MIN(_xlfn.RANK.EQ(InnovationProjectResults[[#This Row],[Innovation Project Score]],InnovationProjectResults[Innovation Project Score],0),NumberOfTeams),NumberOfTeams+1)</f>
        <v>9</v>
      </c>
    </row>
    <row r="25" spans="1:14" ht="30" customHeight="1" x14ac:dyDescent="0.25">
      <c r="A25" s="8">
        <f>_xlfn.XLOOKUP(24,OfficialTeamList[Row],OfficialTeamList[Team Number],"ERROR",0)</f>
        <v>0</v>
      </c>
      <c r="B25" s="20" t="str">
        <f>_xlfn.XLOOKUP(InnovationProjectResults[[#This Row],[Team Number]],OfficialTeamList[Team Number],OfficialTeamList[Team Name],"",0,)</f>
        <v/>
      </c>
      <c r="C25" s="12"/>
      <c r="D25" s="12"/>
      <c r="E25" s="12"/>
      <c r="F25" s="12"/>
      <c r="G25" s="12"/>
      <c r="H25" s="12"/>
      <c r="I25" s="12"/>
      <c r="J25" s="12"/>
      <c r="K25" s="12"/>
      <c r="L25" s="12"/>
      <c r="M25" s="8">
        <f>SUM(InnovationProjectResults[[#This Row],[Explore 1]:[Communicate 2 (CV)]])</f>
        <v>0</v>
      </c>
      <c r="N25" s="21">
        <f>IF(InnovationProjectResults[[#This Row],[Team Number]]&gt;0,MIN(_xlfn.RANK.EQ(InnovationProjectResults[[#This Row],[Innovation Project Score]],InnovationProjectResults[Innovation Project Score],0),NumberOfTeams),NumberOfTeams+1)</f>
        <v>9</v>
      </c>
    </row>
    <row r="26" spans="1:14" ht="30" customHeight="1" x14ac:dyDescent="0.25">
      <c r="A26" s="8">
        <f>_xlfn.XLOOKUP(25,OfficialTeamList[Row],OfficialTeamList[Team Number],"ERROR",0)</f>
        <v>0</v>
      </c>
      <c r="B26" s="20" t="str">
        <f>_xlfn.XLOOKUP(InnovationProjectResults[[#This Row],[Team Number]],OfficialTeamList[Team Number],OfficialTeamList[Team Name],"",0,)</f>
        <v/>
      </c>
      <c r="C26" s="12"/>
      <c r="D26" s="12"/>
      <c r="E26" s="12"/>
      <c r="F26" s="12"/>
      <c r="G26" s="12"/>
      <c r="H26" s="12"/>
      <c r="I26" s="12"/>
      <c r="J26" s="12"/>
      <c r="K26" s="12"/>
      <c r="L26" s="12"/>
      <c r="M26" s="8">
        <f>SUM(InnovationProjectResults[[#This Row],[Explore 1]:[Communicate 2 (CV)]])</f>
        <v>0</v>
      </c>
      <c r="N26" s="21">
        <f>IF(InnovationProjectResults[[#This Row],[Team Number]]&gt;0,MIN(_xlfn.RANK.EQ(InnovationProjectResults[[#This Row],[Innovation Project Score]],InnovationProjectResults[Innovation Project Score],0),NumberOfTeams),NumberOfTeams+1)</f>
        <v>9</v>
      </c>
    </row>
    <row r="27" spans="1:14" ht="30" customHeight="1" x14ac:dyDescent="0.25">
      <c r="A27" s="8">
        <f>_xlfn.XLOOKUP(26,OfficialTeamList[Row],OfficialTeamList[Team Number],"ERROR",0)</f>
        <v>0</v>
      </c>
      <c r="B27" s="20" t="str">
        <f>_xlfn.XLOOKUP(InnovationProjectResults[[#This Row],[Team Number]],OfficialTeamList[Team Number],OfficialTeamList[Team Name],"",0,)</f>
        <v/>
      </c>
      <c r="C27" s="12"/>
      <c r="D27" s="12"/>
      <c r="E27" s="12"/>
      <c r="F27" s="12"/>
      <c r="G27" s="12"/>
      <c r="H27" s="12"/>
      <c r="I27" s="12"/>
      <c r="J27" s="12"/>
      <c r="K27" s="12"/>
      <c r="L27" s="12"/>
      <c r="M27" s="8">
        <f>SUM(InnovationProjectResults[[#This Row],[Explore 1]:[Communicate 2 (CV)]])</f>
        <v>0</v>
      </c>
      <c r="N27" s="21">
        <f>IF(InnovationProjectResults[[#This Row],[Team Number]]&gt;0,MIN(_xlfn.RANK.EQ(InnovationProjectResults[[#This Row],[Innovation Project Score]],InnovationProjectResults[Innovation Project Score],0),NumberOfTeams),NumberOfTeams+1)</f>
        <v>9</v>
      </c>
    </row>
    <row r="28" spans="1:14" ht="30" customHeight="1" x14ac:dyDescent="0.25">
      <c r="A28" s="8">
        <f>_xlfn.XLOOKUP(27,OfficialTeamList[Row],OfficialTeamList[Team Number],"ERROR",0)</f>
        <v>0</v>
      </c>
      <c r="B28" s="20" t="str">
        <f>_xlfn.XLOOKUP(InnovationProjectResults[[#This Row],[Team Number]],OfficialTeamList[Team Number],OfficialTeamList[Team Name],"",0,)</f>
        <v/>
      </c>
      <c r="C28" s="12"/>
      <c r="D28" s="12"/>
      <c r="E28" s="12"/>
      <c r="F28" s="12"/>
      <c r="G28" s="12"/>
      <c r="H28" s="12"/>
      <c r="I28" s="12"/>
      <c r="J28" s="12"/>
      <c r="K28" s="12"/>
      <c r="L28" s="12"/>
      <c r="M28" s="8">
        <f>SUM(InnovationProjectResults[[#This Row],[Explore 1]:[Communicate 2 (CV)]])</f>
        <v>0</v>
      </c>
      <c r="N28" s="21">
        <f>IF(InnovationProjectResults[[#This Row],[Team Number]]&gt;0,MIN(_xlfn.RANK.EQ(InnovationProjectResults[[#This Row],[Innovation Project Score]],InnovationProjectResults[Innovation Project Score],0),NumberOfTeams),NumberOfTeams+1)</f>
        <v>9</v>
      </c>
    </row>
    <row r="29" spans="1:14" ht="30" customHeight="1" x14ac:dyDescent="0.25">
      <c r="A29" s="8">
        <f>_xlfn.XLOOKUP(28,OfficialTeamList[Row],OfficialTeamList[Team Number],"ERROR",0)</f>
        <v>0</v>
      </c>
      <c r="B29" s="20" t="str">
        <f>_xlfn.XLOOKUP(InnovationProjectResults[[#This Row],[Team Number]],OfficialTeamList[Team Number],OfficialTeamList[Team Name],"",0,)</f>
        <v/>
      </c>
      <c r="C29" s="12"/>
      <c r="D29" s="12"/>
      <c r="E29" s="12"/>
      <c r="F29" s="12"/>
      <c r="G29" s="12"/>
      <c r="H29" s="12"/>
      <c r="I29" s="12"/>
      <c r="J29" s="12"/>
      <c r="K29" s="12"/>
      <c r="L29" s="12"/>
      <c r="M29" s="8">
        <f>SUM(InnovationProjectResults[[#This Row],[Explore 1]:[Communicate 2 (CV)]])</f>
        <v>0</v>
      </c>
      <c r="N29" s="21">
        <f>IF(InnovationProjectResults[[#This Row],[Team Number]]&gt;0,MIN(_xlfn.RANK.EQ(InnovationProjectResults[[#This Row],[Innovation Project Score]],InnovationProjectResults[Innovation Project Score],0),NumberOfTeams),NumberOfTeams+1)</f>
        <v>9</v>
      </c>
    </row>
    <row r="30" spans="1:14" ht="30" customHeight="1" x14ac:dyDescent="0.25">
      <c r="A30" s="8">
        <f>_xlfn.XLOOKUP(29,OfficialTeamList[Row],OfficialTeamList[Team Number],"ERROR",0)</f>
        <v>0</v>
      </c>
      <c r="B30" s="20" t="str">
        <f>_xlfn.XLOOKUP(InnovationProjectResults[[#This Row],[Team Number]],OfficialTeamList[Team Number],OfficialTeamList[Team Name],"",0,)</f>
        <v/>
      </c>
      <c r="C30" s="12"/>
      <c r="D30" s="12"/>
      <c r="E30" s="12"/>
      <c r="F30" s="12"/>
      <c r="G30" s="12"/>
      <c r="H30" s="12"/>
      <c r="I30" s="12"/>
      <c r="J30" s="12"/>
      <c r="K30" s="12"/>
      <c r="L30" s="12"/>
      <c r="M30" s="8">
        <f>SUM(InnovationProjectResults[[#This Row],[Explore 1]:[Communicate 2 (CV)]])</f>
        <v>0</v>
      </c>
      <c r="N30" s="21">
        <f>IF(InnovationProjectResults[[#This Row],[Team Number]]&gt;0,MIN(_xlfn.RANK.EQ(InnovationProjectResults[[#This Row],[Innovation Project Score]],InnovationProjectResults[Innovation Project Score],0),NumberOfTeams),NumberOfTeams+1)</f>
        <v>9</v>
      </c>
    </row>
    <row r="31" spans="1:14" ht="30" customHeight="1" x14ac:dyDescent="0.25">
      <c r="A31" s="8">
        <f>_xlfn.XLOOKUP(30,OfficialTeamList[Row],OfficialTeamList[Team Number],"ERROR",0)</f>
        <v>0</v>
      </c>
      <c r="B31" s="20" t="str">
        <f>_xlfn.XLOOKUP(InnovationProjectResults[[#This Row],[Team Number]],OfficialTeamList[Team Number],OfficialTeamList[Team Name],"",0,)</f>
        <v/>
      </c>
      <c r="C31" s="12"/>
      <c r="D31" s="12"/>
      <c r="E31" s="12"/>
      <c r="F31" s="12"/>
      <c r="G31" s="12"/>
      <c r="H31" s="12"/>
      <c r="I31" s="12"/>
      <c r="J31" s="12"/>
      <c r="K31" s="12"/>
      <c r="L31" s="12"/>
      <c r="M31" s="8">
        <f>SUM(InnovationProjectResults[[#This Row],[Explore 1]:[Communicate 2 (CV)]])</f>
        <v>0</v>
      </c>
      <c r="N31" s="21">
        <f>IF(InnovationProjectResults[[#This Row],[Team Number]]&gt;0,MIN(_xlfn.RANK.EQ(InnovationProjectResults[[#This Row],[Innovation Project Score]],InnovationProjectResults[Innovation Project Score],0),NumberOfTeams),NumberOfTeams+1)</f>
        <v>9</v>
      </c>
    </row>
    <row r="32" spans="1:14" ht="30" customHeight="1" x14ac:dyDescent="0.25">
      <c r="A32" s="8">
        <f>_xlfn.XLOOKUP(31,OfficialTeamList[Row],OfficialTeamList[Team Number],"ERROR",0)</f>
        <v>0</v>
      </c>
      <c r="B32" s="20" t="str">
        <f>_xlfn.XLOOKUP(InnovationProjectResults[[#This Row],[Team Number]],OfficialTeamList[Team Number],OfficialTeamList[Team Name],"",0,)</f>
        <v/>
      </c>
      <c r="C32" s="12"/>
      <c r="D32" s="12"/>
      <c r="E32" s="12"/>
      <c r="F32" s="12"/>
      <c r="G32" s="12"/>
      <c r="H32" s="12"/>
      <c r="I32" s="12"/>
      <c r="J32" s="12"/>
      <c r="K32" s="12"/>
      <c r="L32" s="12"/>
      <c r="M32" s="8">
        <f>SUM(InnovationProjectResults[[#This Row],[Explore 1]:[Communicate 2 (CV)]])</f>
        <v>0</v>
      </c>
      <c r="N32" s="21">
        <f>IF(InnovationProjectResults[[#This Row],[Team Number]]&gt;0,MIN(_xlfn.RANK.EQ(InnovationProjectResults[[#This Row],[Innovation Project Score]],InnovationProjectResults[Innovation Project Score],0),NumberOfTeams),NumberOfTeams+1)</f>
        <v>9</v>
      </c>
    </row>
    <row r="33" spans="1:14" ht="30" customHeight="1" x14ac:dyDescent="0.25">
      <c r="A33" s="8">
        <f>_xlfn.XLOOKUP(32,OfficialTeamList[Row],OfficialTeamList[Team Number],"ERROR",0)</f>
        <v>0</v>
      </c>
      <c r="B33" s="20" t="str">
        <f>_xlfn.XLOOKUP(InnovationProjectResults[[#This Row],[Team Number]],OfficialTeamList[Team Number],OfficialTeamList[Team Name],"",0,)</f>
        <v/>
      </c>
      <c r="C33" s="12"/>
      <c r="D33" s="12"/>
      <c r="E33" s="12"/>
      <c r="F33" s="12"/>
      <c r="G33" s="12"/>
      <c r="H33" s="12"/>
      <c r="I33" s="12"/>
      <c r="J33" s="12"/>
      <c r="K33" s="12"/>
      <c r="L33" s="12"/>
      <c r="M33" s="8">
        <f>SUM(InnovationProjectResults[[#This Row],[Explore 1]:[Communicate 2 (CV)]])</f>
        <v>0</v>
      </c>
      <c r="N33" s="21">
        <f>IF(InnovationProjectResults[[#This Row],[Team Number]]&gt;0,MIN(_xlfn.RANK.EQ(InnovationProjectResults[[#This Row],[Innovation Project Score]],InnovationProjectResults[Innovation Project Score],0),NumberOfTeams),NumberOfTeams+1)</f>
        <v>9</v>
      </c>
    </row>
    <row r="34" spans="1:14" ht="30" customHeight="1" x14ac:dyDescent="0.25">
      <c r="A34" s="8">
        <f>_xlfn.XLOOKUP(33,OfficialTeamList[Row],OfficialTeamList[Team Number],"ERROR",0)</f>
        <v>0</v>
      </c>
      <c r="B34" s="20" t="str">
        <f>_xlfn.XLOOKUP(InnovationProjectResults[[#This Row],[Team Number]],OfficialTeamList[Team Number],OfficialTeamList[Team Name],"",0,)</f>
        <v/>
      </c>
      <c r="C34" s="12"/>
      <c r="D34" s="12"/>
      <c r="E34" s="12"/>
      <c r="F34" s="12"/>
      <c r="G34" s="12"/>
      <c r="H34" s="12"/>
      <c r="I34" s="12"/>
      <c r="J34" s="12"/>
      <c r="K34" s="12"/>
      <c r="L34" s="12"/>
      <c r="M34" s="8">
        <f>SUM(InnovationProjectResults[[#This Row],[Explore 1]:[Communicate 2 (CV)]])</f>
        <v>0</v>
      </c>
      <c r="N34" s="21">
        <f>IF(InnovationProjectResults[[#This Row],[Team Number]]&gt;0,MIN(_xlfn.RANK.EQ(InnovationProjectResults[[#This Row],[Innovation Project Score]],InnovationProjectResults[Innovation Project Score],0),NumberOfTeams),NumberOfTeams+1)</f>
        <v>9</v>
      </c>
    </row>
    <row r="35" spans="1:14" ht="30" customHeight="1" x14ac:dyDescent="0.25">
      <c r="A35" s="8">
        <f>_xlfn.XLOOKUP(34,OfficialTeamList[Row],OfficialTeamList[Team Number],"ERROR",0)</f>
        <v>0</v>
      </c>
      <c r="B35" s="20" t="str">
        <f>_xlfn.XLOOKUP(InnovationProjectResults[[#This Row],[Team Number]],OfficialTeamList[Team Number],OfficialTeamList[Team Name],"",0,)</f>
        <v/>
      </c>
      <c r="C35" s="12"/>
      <c r="D35" s="12"/>
      <c r="E35" s="12"/>
      <c r="F35" s="12"/>
      <c r="G35" s="12"/>
      <c r="H35" s="12"/>
      <c r="I35" s="12"/>
      <c r="J35" s="12"/>
      <c r="K35" s="12"/>
      <c r="L35" s="12"/>
      <c r="M35" s="8">
        <f>SUM(InnovationProjectResults[[#This Row],[Explore 1]:[Communicate 2 (CV)]])</f>
        <v>0</v>
      </c>
      <c r="N35" s="21">
        <f>IF(InnovationProjectResults[[#This Row],[Team Number]]&gt;0,MIN(_xlfn.RANK.EQ(InnovationProjectResults[[#This Row],[Innovation Project Score]],InnovationProjectResults[Innovation Project Score],0),NumberOfTeams),NumberOfTeams+1)</f>
        <v>9</v>
      </c>
    </row>
    <row r="36" spans="1:14" ht="30" customHeight="1" x14ac:dyDescent="0.25">
      <c r="A36" s="8">
        <f>_xlfn.XLOOKUP(35,OfficialTeamList[Row],OfficialTeamList[Team Number],"ERROR",0)</f>
        <v>0</v>
      </c>
      <c r="B36" s="20" t="str">
        <f>_xlfn.XLOOKUP(InnovationProjectResults[[#This Row],[Team Number]],OfficialTeamList[Team Number],OfficialTeamList[Team Name],"",0,)</f>
        <v/>
      </c>
      <c r="C36" s="12"/>
      <c r="D36" s="12"/>
      <c r="E36" s="12"/>
      <c r="F36" s="12"/>
      <c r="G36" s="12"/>
      <c r="H36" s="12"/>
      <c r="I36" s="12"/>
      <c r="J36" s="12"/>
      <c r="K36" s="12"/>
      <c r="L36" s="12"/>
      <c r="M36" s="8">
        <f>SUM(InnovationProjectResults[[#This Row],[Explore 1]:[Communicate 2 (CV)]])</f>
        <v>0</v>
      </c>
      <c r="N36" s="21">
        <f>IF(InnovationProjectResults[[#This Row],[Team Number]]&gt;0,MIN(_xlfn.RANK.EQ(InnovationProjectResults[[#This Row],[Innovation Project Score]],InnovationProjectResults[Innovation Project Score],0),NumberOfTeams),NumberOfTeams+1)</f>
        <v>9</v>
      </c>
    </row>
    <row r="37" spans="1:14" ht="30" customHeight="1" x14ac:dyDescent="0.25">
      <c r="A37" s="8">
        <f>_xlfn.XLOOKUP(36,OfficialTeamList[Row],OfficialTeamList[Team Number],"ERROR",0)</f>
        <v>0</v>
      </c>
      <c r="B37" s="20" t="str">
        <f>_xlfn.XLOOKUP(InnovationProjectResults[[#This Row],[Team Number]],OfficialTeamList[Team Number],OfficialTeamList[Team Name],"",0,)</f>
        <v/>
      </c>
      <c r="C37" s="12"/>
      <c r="D37" s="12"/>
      <c r="E37" s="12"/>
      <c r="F37" s="12"/>
      <c r="G37" s="12"/>
      <c r="H37" s="12"/>
      <c r="I37" s="12"/>
      <c r="J37" s="12"/>
      <c r="K37" s="12"/>
      <c r="L37" s="12"/>
      <c r="M37" s="8">
        <f>SUM(InnovationProjectResults[[#This Row],[Explore 1]:[Communicate 2 (CV)]])</f>
        <v>0</v>
      </c>
      <c r="N37" s="21">
        <f>IF(InnovationProjectResults[[#This Row],[Team Number]]&gt;0,MIN(_xlfn.RANK.EQ(InnovationProjectResults[[#This Row],[Innovation Project Score]],InnovationProjectResults[Innovation Project Score],0),NumberOfTeams),NumberOfTeams+1)</f>
        <v>9</v>
      </c>
    </row>
    <row r="38" spans="1:14" ht="30" customHeight="1" x14ac:dyDescent="0.25">
      <c r="A38" s="8">
        <f>_xlfn.XLOOKUP(37,OfficialTeamList[Row],OfficialTeamList[Team Number],"ERROR",0)</f>
        <v>0</v>
      </c>
      <c r="B38" s="20" t="str">
        <f>_xlfn.XLOOKUP(InnovationProjectResults[[#This Row],[Team Number]],OfficialTeamList[Team Number],OfficialTeamList[Team Name],"",0,)</f>
        <v/>
      </c>
      <c r="C38" s="12"/>
      <c r="D38" s="12"/>
      <c r="E38" s="12"/>
      <c r="F38" s="12"/>
      <c r="G38" s="12"/>
      <c r="H38" s="12"/>
      <c r="I38" s="12"/>
      <c r="J38" s="12"/>
      <c r="K38" s="12"/>
      <c r="L38" s="12"/>
      <c r="M38" s="8">
        <f>SUM(InnovationProjectResults[[#This Row],[Explore 1]:[Communicate 2 (CV)]])</f>
        <v>0</v>
      </c>
      <c r="N38" s="21">
        <f>IF(InnovationProjectResults[[#This Row],[Team Number]]&gt;0,MIN(_xlfn.RANK.EQ(InnovationProjectResults[[#This Row],[Innovation Project Score]],InnovationProjectResults[Innovation Project Score],0),NumberOfTeams),NumberOfTeams+1)</f>
        <v>9</v>
      </c>
    </row>
    <row r="39" spans="1:14" ht="30" customHeight="1" x14ac:dyDescent="0.25">
      <c r="A39" s="8">
        <f>_xlfn.XLOOKUP(38,OfficialTeamList[Row],OfficialTeamList[Team Number],"ERROR",0)</f>
        <v>0</v>
      </c>
      <c r="B39" s="20" t="str">
        <f>_xlfn.XLOOKUP(InnovationProjectResults[[#This Row],[Team Number]],OfficialTeamList[Team Number],OfficialTeamList[Team Name],"",0,)</f>
        <v/>
      </c>
      <c r="C39" s="12"/>
      <c r="D39" s="12"/>
      <c r="E39" s="12"/>
      <c r="F39" s="12"/>
      <c r="G39" s="12"/>
      <c r="H39" s="12"/>
      <c r="I39" s="12"/>
      <c r="J39" s="12"/>
      <c r="K39" s="12"/>
      <c r="L39" s="12"/>
      <c r="M39" s="8">
        <f>SUM(InnovationProjectResults[[#This Row],[Explore 1]:[Communicate 2 (CV)]])</f>
        <v>0</v>
      </c>
      <c r="N39" s="21">
        <f>IF(InnovationProjectResults[[#This Row],[Team Number]]&gt;0,MIN(_xlfn.RANK.EQ(InnovationProjectResults[[#This Row],[Innovation Project Score]],InnovationProjectResults[Innovation Project Score],0),NumberOfTeams),NumberOfTeams+1)</f>
        <v>9</v>
      </c>
    </row>
    <row r="40" spans="1:14" ht="30" customHeight="1" x14ac:dyDescent="0.25">
      <c r="A40" s="8">
        <f>_xlfn.XLOOKUP(39,OfficialTeamList[Row],OfficialTeamList[Team Number],"ERROR",0)</f>
        <v>0</v>
      </c>
      <c r="B40" s="20" t="str">
        <f>_xlfn.XLOOKUP(InnovationProjectResults[[#This Row],[Team Number]],OfficialTeamList[Team Number],OfficialTeamList[Team Name],"",0,)</f>
        <v/>
      </c>
      <c r="C40" s="12"/>
      <c r="D40" s="12"/>
      <c r="E40" s="12"/>
      <c r="F40" s="12"/>
      <c r="G40" s="12"/>
      <c r="H40" s="12"/>
      <c r="I40" s="12"/>
      <c r="J40" s="12"/>
      <c r="K40" s="12"/>
      <c r="L40" s="12"/>
      <c r="M40" s="8">
        <f>SUM(InnovationProjectResults[[#This Row],[Explore 1]:[Communicate 2 (CV)]])</f>
        <v>0</v>
      </c>
      <c r="N40" s="21">
        <f>IF(InnovationProjectResults[[#This Row],[Team Number]]&gt;0,MIN(_xlfn.RANK.EQ(InnovationProjectResults[[#This Row],[Innovation Project Score]],InnovationProjectResults[Innovation Project Score],0),NumberOfTeams),NumberOfTeams+1)</f>
        <v>9</v>
      </c>
    </row>
    <row r="41" spans="1:14" ht="30" customHeight="1" x14ac:dyDescent="0.25">
      <c r="A41" s="8">
        <f>_xlfn.XLOOKUP(40,OfficialTeamList[Row],OfficialTeamList[Team Number],"ERROR",0)</f>
        <v>0</v>
      </c>
      <c r="B41" s="20" t="str">
        <f>_xlfn.XLOOKUP(InnovationProjectResults[[#This Row],[Team Number]],OfficialTeamList[Team Number],OfficialTeamList[Team Name],"",0,)</f>
        <v/>
      </c>
      <c r="C41" s="12"/>
      <c r="D41" s="12"/>
      <c r="E41" s="12"/>
      <c r="F41" s="12"/>
      <c r="G41" s="12"/>
      <c r="H41" s="12"/>
      <c r="I41" s="12"/>
      <c r="J41" s="12"/>
      <c r="K41" s="12"/>
      <c r="L41" s="12"/>
      <c r="M41" s="8">
        <f>SUM(InnovationProjectResults[[#This Row],[Explore 1]:[Communicate 2 (CV)]])</f>
        <v>0</v>
      </c>
      <c r="N41" s="21">
        <f>IF(InnovationProjectResults[[#This Row],[Team Number]]&gt;0,MIN(_xlfn.RANK.EQ(InnovationProjectResults[[#This Row],[Innovation Project Score]],InnovationProjectResults[Innovation Project Score],0),NumberOfTeams),NumberOfTeams+1)</f>
        <v>9</v>
      </c>
    </row>
    <row r="42" spans="1:14" ht="30" customHeight="1" x14ac:dyDescent="0.25">
      <c r="A42" s="8">
        <f>_xlfn.XLOOKUP(41,OfficialTeamList[Row],OfficialTeamList[Team Number],"ERROR",0)</f>
        <v>0</v>
      </c>
      <c r="B42" s="20" t="str">
        <f>_xlfn.XLOOKUP(InnovationProjectResults[[#This Row],[Team Number]],OfficialTeamList[Team Number],OfficialTeamList[Team Name],"",0,)</f>
        <v/>
      </c>
      <c r="C42" s="12"/>
      <c r="D42" s="12"/>
      <c r="E42" s="12"/>
      <c r="F42" s="12"/>
      <c r="G42" s="12"/>
      <c r="H42" s="12"/>
      <c r="I42" s="12"/>
      <c r="J42" s="12"/>
      <c r="K42" s="12"/>
      <c r="L42" s="12"/>
      <c r="M42" s="8">
        <f>SUM(InnovationProjectResults[[#This Row],[Explore 1]:[Communicate 2 (CV)]])</f>
        <v>0</v>
      </c>
      <c r="N42" s="21">
        <f>IF(InnovationProjectResults[[#This Row],[Team Number]]&gt;0,MIN(_xlfn.RANK.EQ(InnovationProjectResults[[#This Row],[Innovation Project Score]],InnovationProjectResults[Innovation Project Score],0),NumberOfTeams),NumberOfTeams+1)</f>
        <v>9</v>
      </c>
    </row>
    <row r="43" spans="1:14" ht="30" customHeight="1" x14ac:dyDescent="0.25">
      <c r="A43" s="8">
        <f>_xlfn.XLOOKUP(42,OfficialTeamList[Row],OfficialTeamList[Team Number],"ERROR",0)</f>
        <v>0</v>
      </c>
      <c r="B43" s="20" t="str">
        <f>_xlfn.XLOOKUP(InnovationProjectResults[[#This Row],[Team Number]],OfficialTeamList[Team Number],OfficialTeamList[Team Name],"",0,)</f>
        <v/>
      </c>
      <c r="C43" s="12"/>
      <c r="D43" s="12"/>
      <c r="E43" s="12"/>
      <c r="F43" s="12"/>
      <c r="G43" s="12"/>
      <c r="H43" s="12"/>
      <c r="I43" s="12"/>
      <c r="J43" s="12"/>
      <c r="K43" s="12"/>
      <c r="L43" s="12"/>
      <c r="M43" s="8">
        <f>SUM(InnovationProjectResults[[#This Row],[Explore 1]:[Communicate 2 (CV)]])</f>
        <v>0</v>
      </c>
      <c r="N43" s="21">
        <f>IF(InnovationProjectResults[[#This Row],[Team Number]]&gt;0,MIN(_xlfn.RANK.EQ(InnovationProjectResults[[#This Row],[Innovation Project Score]],InnovationProjectResults[Innovation Project Score],0),NumberOfTeams),NumberOfTeams+1)</f>
        <v>9</v>
      </c>
    </row>
    <row r="44" spans="1:14" ht="30" customHeight="1" x14ac:dyDescent="0.25">
      <c r="A44" s="8">
        <f>_xlfn.XLOOKUP(43,OfficialTeamList[Row],OfficialTeamList[Team Number],"ERROR",0)</f>
        <v>0</v>
      </c>
      <c r="B44" s="20" t="str">
        <f>_xlfn.XLOOKUP(InnovationProjectResults[[#This Row],[Team Number]],OfficialTeamList[Team Number],OfficialTeamList[Team Name],"",0,)</f>
        <v/>
      </c>
      <c r="C44" s="12"/>
      <c r="D44" s="12"/>
      <c r="E44" s="12"/>
      <c r="F44" s="12"/>
      <c r="G44" s="12"/>
      <c r="H44" s="12"/>
      <c r="I44" s="12"/>
      <c r="J44" s="12"/>
      <c r="K44" s="12"/>
      <c r="L44" s="12"/>
      <c r="M44" s="8">
        <f>SUM(InnovationProjectResults[[#This Row],[Explore 1]:[Communicate 2 (CV)]])</f>
        <v>0</v>
      </c>
      <c r="N44" s="21">
        <f>IF(InnovationProjectResults[[#This Row],[Team Number]]&gt;0,MIN(_xlfn.RANK.EQ(InnovationProjectResults[[#This Row],[Innovation Project Score]],InnovationProjectResults[Innovation Project Score],0),NumberOfTeams),NumberOfTeams+1)</f>
        <v>9</v>
      </c>
    </row>
    <row r="45" spans="1:14" ht="30" customHeight="1" x14ac:dyDescent="0.25">
      <c r="A45" s="8">
        <f>_xlfn.XLOOKUP(44,OfficialTeamList[Row],OfficialTeamList[Team Number],"ERROR",0)</f>
        <v>0</v>
      </c>
      <c r="B45" s="20" t="str">
        <f>_xlfn.XLOOKUP(InnovationProjectResults[[#This Row],[Team Number]],OfficialTeamList[Team Number],OfficialTeamList[Team Name],"",0,)</f>
        <v/>
      </c>
      <c r="C45" s="22"/>
      <c r="D45" s="22"/>
      <c r="E45" s="22"/>
      <c r="F45" s="22"/>
      <c r="G45" s="22"/>
      <c r="H45" s="22"/>
      <c r="I45" s="22"/>
      <c r="J45" s="22"/>
      <c r="K45" s="22"/>
      <c r="L45" s="22"/>
      <c r="M45" s="8">
        <f>SUM(InnovationProjectResults[[#This Row],[Explore 1]:[Communicate 2 (CV)]])</f>
        <v>0</v>
      </c>
      <c r="N45" s="21">
        <f>IF(InnovationProjectResults[[#This Row],[Team Number]]&gt;0,MIN(_xlfn.RANK.EQ(InnovationProjectResults[[#This Row],[Innovation Project Score]],InnovationProjectResults[Innovation Project Score],0),NumberOfTeams),NumberOfTeams+1)</f>
        <v>9</v>
      </c>
    </row>
    <row r="46" spans="1:14" ht="30" customHeight="1" x14ac:dyDescent="0.25">
      <c r="A46" s="8">
        <f>_xlfn.XLOOKUP(45,OfficialTeamList[Row],OfficialTeamList[Team Number],"ERROR",0)</f>
        <v>0</v>
      </c>
      <c r="B46" s="20" t="str">
        <f>_xlfn.XLOOKUP(InnovationProjectResults[[#This Row],[Team Number]],OfficialTeamList[Team Number],OfficialTeamList[Team Name],"",0,)</f>
        <v/>
      </c>
      <c r="C46" s="22"/>
      <c r="D46" s="22"/>
      <c r="E46" s="22"/>
      <c r="F46" s="22"/>
      <c r="G46" s="22"/>
      <c r="H46" s="22"/>
      <c r="I46" s="22"/>
      <c r="J46" s="22"/>
      <c r="K46" s="22"/>
      <c r="L46" s="22"/>
      <c r="M46" s="8">
        <f>SUM(InnovationProjectResults[[#This Row],[Explore 1]:[Communicate 2 (CV)]])</f>
        <v>0</v>
      </c>
      <c r="N46" s="21">
        <f>IF(InnovationProjectResults[[#This Row],[Team Number]]&gt;0,MIN(_xlfn.RANK.EQ(InnovationProjectResults[[#This Row],[Innovation Project Score]],InnovationProjectResults[Innovation Project Score],0),NumberOfTeams),NumberOfTeams+1)</f>
        <v>9</v>
      </c>
    </row>
    <row r="47" spans="1:14" ht="30" customHeight="1" x14ac:dyDescent="0.25">
      <c r="A47" s="8">
        <f>_xlfn.XLOOKUP(46,OfficialTeamList[Row],OfficialTeamList[Team Number],"ERROR",0)</f>
        <v>0</v>
      </c>
      <c r="B47" s="20" t="str">
        <f>_xlfn.XLOOKUP(InnovationProjectResults[[#This Row],[Team Number]],OfficialTeamList[Team Number],OfficialTeamList[Team Name],"",0,)</f>
        <v/>
      </c>
      <c r="C47" s="22"/>
      <c r="D47" s="22"/>
      <c r="E47" s="22"/>
      <c r="F47" s="22"/>
      <c r="G47" s="22"/>
      <c r="H47" s="22"/>
      <c r="I47" s="22"/>
      <c r="J47" s="22"/>
      <c r="K47" s="22"/>
      <c r="L47" s="22"/>
      <c r="M47" s="8">
        <f>SUM(InnovationProjectResults[[#This Row],[Explore 1]:[Communicate 2 (CV)]])</f>
        <v>0</v>
      </c>
      <c r="N47" s="21">
        <f>IF(InnovationProjectResults[[#This Row],[Team Number]]&gt;0,MIN(_xlfn.RANK.EQ(InnovationProjectResults[[#This Row],[Innovation Project Score]],InnovationProjectResults[Innovation Project Score],0),NumberOfTeams),NumberOfTeams+1)</f>
        <v>9</v>
      </c>
    </row>
    <row r="48" spans="1:14" ht="30" customHeight="1" x14ac:dyDescent="0.25">
      <c r="A48" s="8">
        <f>_xlfn.XLOOKUP(47,OfficialTeamList[Row],OfficialTeamList[Team Number],"ERROR",0)</f>
        <v>0</v>
      </c>
      <c r="B48" s="20" t="str">
        <f>_xlfn.XLOOKUP(InnovationProjectResults[[#This Row],[Team Number]],OfficialTeamList[Team Number],OfficialTeamList[Team Name],"",0,)</f>
        <v/>
      </c>
      <c r="C48" s="22"/>
      <c r="D48" s="22"/>
      <c r="E48" s="22"/>
      <c r="F48" s="22"/>
      <c r="G48" s="22"/>
      <c r="H48" s="22"/>
      <c r="I48" s="22"/>
      <c r="J48" s="22"/>
      <c r="K48" s="22"/>
      <c r="L48" s="22"/>
      <c r="M48" s="8">
        <f>SUM(InnovationProjectResults[[#This Row],[Explore 1]:[Communicate 2 (CV)]])</f>
        <v>0</v>
      </c>
      <c r="N48" s="21">
        <f>IF(InnovationProjectResults[[#This Row],[Team Number]]&gt;0,MIN(_xlfn.RANK.EQ(InnovationProjectResults[[#This Row],[Innovation Project Score]],InnovationProjectResults[Innovation Project Score],0),NumberOfTeams),NumberOfTeams+1)</f>
        <v>9</v>
      </c>
    </row>
    <row r="49" spans="1:14" ht="30" customHeight="1" x14ac:dyDescent="0.25">
      <c r="A49" s="8">
        <f>_xlfn.XLOOKUP(48,OfficialTeamList[Row],OfficialTeamList[Team Number],"ERROR",0)</f>
        <v>0</v>
      </c>
      <c r="B49" s="20" t="str">
        <f>_xlfn.XLOOKUP(InnovationProjectResults[[#This Row],[Team Number]],OfficialTeamList[Team Number],OfficialTeamList[Team Name],"",0,)</f>
        <v/>
      </c>
      <c r="C49" s="22"/>
      <c r="D49" s="22"/>
      <c r="E49" s="22"/>
      <c r="F49" s="22"/>
      <c r="G49" s="22"/>
      <c r="H49" s="22"/>
      <c r="I49" s="22"/>
      <c r="J49" s="22"/>
      <c r="K49" s="22"/>
      <c r="L49" s="22"/>
      <c r="M49" s="8">
        <f>SUM(InnovationProjectResults[[#This Row],[Explore 1]:[Communicate 2 (CV)]])</f>
        <v>0</v>
      </c>
      <c r="N49" s="21">
        <f>IF(InnovationProjectResults[[#This Row],[Team Number]]&gt;0,MIN(_xlfn.RANK.EQ(InnovationProjectResults[[#This Row],[Innovation Project Score]],InnovationProjectResults[Innovation Project Score],0),NumberOfTeams),NumberOfTeams+1)</f>
        <v>9</v>
      </c>
    </row>
    <row r="50" spans="1:14" ht="30" customHeight="1" x14ac:dyDescent="0.25">
      <c r="A50" s="8">
        <f>_xlfn.XLOOKUP(49,OfficialTeamList[Row],OfficialTeamList[Team Number],"ERROR",0)</f>
        <v>0</v>
      </c>
      <c r="B50" s="20" t="str">
        <f>_xlfn.XLOOKUP(InnovationProjectResults[[#This Row],[Team Number]],OfficialTeamList[Team Number],OfficialTeamList[Team Name],"",0,)</f>
        <v/>
      </c>
      <c r="C50" s="22"/>
      <c r="D50" s="22"/>
      <c r="E50" s="22"/>
      <c r="F50" s="22"/>
      <c r="G50" s="22"/>
      <c r="H50" s="22"/>
      <c r="I50" s="22"/>
      <c r="J50" s="22"/>
      <c r="K50" s="22"/>
      <c r="L50" s="22"/>
      <c r="M50" s="8">
        <f>SUM(InnovationProjectResults[[#This Row],[Explore 1]:[Communicate 2 (CV)]])</f>
        <v>0</v>
      </c>
      <c r="N50" s="21">
        <f>IF(InnovationProjectResults[[#This Row],[Team Number]]&gt;0,MIN(_xlfn.RANK.EQ(InnovationProjectResults[[#This Row],[Innovation Project Score]],InnovationProjectResults[Innovation Project Score],0),NumberOfTeams),NumberOfTeams+1)</f>
        <v>9</v>
      </c>
    </row>
    <row r="51" spans="1:14" ht="30" customHeight="1" x14ac:dyDescent="0.25">
      <c r="A51" s="8">
        <f>_xlfn.XLOOKUP(50,OfficialTeamList[Row],OfficialTeamList[Team Number],"ERROR",0)</f>
        <v>0</v>
      </c>
      <c r="B51" s="20" t="str">
        <f>_xlfn.XLOOKUP(InnovationProjectResults[[#This Row],[Team Number]],OfficialTeamList[Team Number],OfficialTeamList[Team Name],"",0,)</f>
        <v/>
      </c>
      <c r="C51" s="22"/>
      <c r="D51" s="22"/>
      <c r="E51" s="22"/>
      <c r="F51" s="22"/>
      <c r="G51" s="22"/>
      <c r="H51" s="22"/>
      <c r="I51" s="22"/>
      <c r="J51" s="22"/>
      <c r="K51" s="22"/>
      <c r="L51" s="22"/>
      <c r="M51" s="8">
        <f>SUM(InnovationProjectResults[[#This Row],[Explore 1]:[Communicate 2 (CV)]])</f>
        <v>0</v>
      </c>
      <c r="N51" s="21">
        <f>IF(InnovationProjectResults[[#This Row],[Team Number]]&gt;0,MIN(_xlfn.RANK.EQ(InnovationProjectResults[[#This Row],[Innovation Project Score]],InnovationProjectResults[Innovation Project Score],0),NumberOfTeams),NumberOfTeams+1)</f>
        <v>9</v>
      </c>
    </row>
    <row r="52" spans="1:14" ht="30" customHeight="1" x14ac:dyDescent="0.25">
      <c r="A52" s="8">
        <f>_xlfn.XLOOKUP(51,OfficialTeamList[Row],OfficialTeamList[Team Number],"ERROR",0)</f>
        <v>0</v>
      </c>
      <c r="B52" s="20" t="str">
        <f>_xlfn.XLOOKUP(InnovationProjectResults[[#This Row],[Team Number]],OfficialTeamList[Team Number],OfficialTeamList[Team Name],"",0,)</f>
        <v/>
      </c>
      <c r="C52" s="22"/>
      <c r="D52" s="22"/>
      <c r="E52" s="22"/>
      <c r="F52" s="22"/>
      <c r="G52" s="22"/>
      <c r="H52" s="22"/>
      <c r="I52" s="22"/>
      <c r="J52" s="22"/>
      <c r="K52" s="22"/>
      <c r="L52" s="22"/>
      <c r="M52" s="8">
        <f>SUM(InnovationProjectResults[[#This Row],[Explore 1]:[Communicate 2 (CV)]])</f>
        <v>0</v>
      </c>
      <c r="N52" s="21">
        <f>IF(InnovationProjectResults[[#This Row],[Team Number]]&gt;0,MIN(_xlfn.RANK.EQ(InnovationProjectResults[[#This Row],[Innovation Project Score]],InnovationProjectResults[Innovation Project Score],0),NumberOfTeams),NumberOfTeams+1)</f>
        <v>9</v>
      </c>
    </row>
    <row r="53" spans="1:14" ht="30" customHeight="1" x14ac:dyDescent="0.25">
      <c r="A53" s="8">
        <f>_xlfn.XLOOKUP(52,OfficialTeamList[Row],OfficialTeamList[Team Number],"ERROR",0)</f>
        <v>0</v>
      </c>
      <c r="B53" s="20" t="str">
        <f>_xlfn.XLOOKUP(InnovationProjectResults[[#This Row],[Team Number]],OfficialTeamList[Team Number],OfficialTeamList[Team Name],"",0,)</f>
        <v/>
      </c>
      <c r="C53" s="22"/>
      <c r="D53" s="22"/>
      <c r="E53" s="22"/>
      <c r="F53" s="22"/>
      <c r="G53" s="22"/>
      <c r="H53" s="22"/>
      <c r="I53" s="22"/>
      <c r="J53" s="22"/>
      <c r="K53" s="22"/>
      <c r="L53" s="22"/>
      <c r="M53" s="8">
        <f>SUM(InnovationProjectResults[[#This Row],[Explore 1]:[Communicate 2 (CV)]])</f>
        <v>0</v>
      </c>
      <c r="N53" s="21">
        <f>IF(InnovationProjectResults[[#This Row],[Team Number]]&gt;0,MIN(_xlfn.RANK.EQ(InnovationProjectResults[[#This Row],[Innovation Project Score]],InnovationProjectResults[Innovation Project Score],0),NumberOfTeams),NumberOfTeams+1)</f>
        <v>9</v>
      </c>
    </row>
    <row r="54" spans="1:14" ht="30" customHeight="1" x14ac:dyDescent="0.25">
      <c r="A54" s="8">
        <f>_xlfn.XLOOKUP(53,OfficialTeamList[Row],OfficialTeamList[Team Number],"ERROR",0)</f>
        <v>0</v>
      </c>
      <c r="B54" s="20" t="str">
        <f>_xlfn.XLOOKUP(InnovationProjectResults[[#This Row],[Team Number]],OfficialTeamList[Team Number],OfficialTeamList[Team Name],"",0,)</f>
        <v/>
      </c>
      <c r="C54" s="22"/>
      <c r="D54" s="22"/>
      <c r="E54" s="22"/>
      <c r="F54" s="22"/>
      <c r="G54" s="22"/>
      <c r="H54" s="22"/>
      <c r="I54" s="22"/>
      <c r="J54" s="22"/>
      <c r="K54" s="22"/>
      <c r="L54" s="22"/>
      <c r="M54" s="8">
        <f>SUM(InnovationProjectResults[[#This Row],[Explore 1]:[Communicate 2 (CV)]])</f>
        <v>0</v>
      </c>
      <c r="N54" s="21">
        <f>IF(InnovationProjectResults[[#This Row],[Team Number]]&gt;0,MIN(_xlfn.RANK.EQ(InnovationProjectResults[[#This Row],[Innovation Project Score]],InnovationProjectResults[Innovation Project Score],0),NumberOfTeams),NumberOfTeams+1)</f>
        <v>9</v>
      </c>
    </row>
    <row r="55" spans="1:14" ht="30" customHeight="1" x14ac:dyDescent="0.25">
      <c r="A55" s="8">
        <f>_xlfn.XLOOKUP(54,OfficialTeamList[Row],OfficialTeamList[Team Number],"ERROR",0)</f>
        <v>0</v>
      </c>
      <c r="B55" s="20" t="str">
        <f>_xlfn.XLOOKUP(InnovationProjectResults[[#This Row],[Team Number]],OfficialTeamList[Team Number],OfficialTeamList[Team Name],"",0,)</f>
        <v/>
      </c>
      <c r="C55" s="22"/>
      <c r="D55" s="22"/>
      <c r="E55" s="22"/>
      <c r="F55" s="22"/>
      <c r="G55" s="22"/>
      <c r="H55" s="22"/>
      <c r="I55" s="22"/>
      <c r="J55" s="22"/>
      <c r="K55" s="22"/>
      <c r="L55" s="22"/>
      <c r="M55" s="8">
        <f>SUM(InnovationProjectResults[[#This Row],[Explore 1]:[Communicate 2 (CV)]])</f>
        <v>0</v>
      </c>
      <c r="N55" s="21">
        <f>IF(InnovationProjectResults[[#This Row],[Team Number]]&gt;0,MIN(_xlfn.RANK.EQ(InnovationProjectResults[[#This Row],[Innovation Project Score]],InnovationProjectResults[Innovation Project Score],0),NumberOfTeams),NumberOfTeams+1)</f>
        <v>9</v>
      </c>
    </row>
    <row r="56" spans="1:14" ht="30" customHeight="1" x14ac:dyDescent="0.25">
      <c r="A56" s="8">
        <f>_xlfn.XLOOKUP(55,OfficialTeamList[Row],OfficialTeamList[Team Number],"ERROR",0)</f>
        <v>0</v>
      </c>
      <c r="B56" s="20" t="str">
        <f>_xlfn.XLOOKUP(InnovationProjectResults[[#This Row],[Team Number]],OfficialTeamList[Team Number],OfficialTeamList[Team Name],"",0,)</f>
        <v/>
      </c>
      <c r="C56" s="22"/>
      <c r="D56" s="22"/>
      <c r="E56" s="22"/>
      <c r="F56" s="22"/>
      <c r="G56" s="22"/>
      <c r="H56" s="22"/>
      <c r="I56" s="22"/>
      <c r="J56" s="22"/>
      <c r="K56" s="22"/>
      <c r="L56" s="22"/>
      <c r="M56" s="8">
        <f>SUM(InnovationProjectResults[[#This Row],[Explore 1]:[Communicate 2 (CV)]])</f>
        <v>0</v>
      </c>
      <c r="N56" s="21">
        <f>IF(InnovationProjectResults[[#This Row],[Team Number]]&gt;0,MIN(_xlfn.RANK.EQ(InnovationProjectResults[[#This Row],[Innovation Project Score]],InnovationProjectResults[Innovation Project Score],0),NumberOfTeams),NumberOfTeams+1)</f>
        <v>9</v>
      </c>
    </row>
    <row r="57" spans="1:14" ht="30" customHeight="1" x14ac:dyDescent="0.25">
      <c r="A57" s="8">
        <f>_xlfn.XLOOKUP(56,OfficialTeamList[Row],OfficialTeamList[Team Number],"ERROR",0)</f>
        <v>0</v>
      </c>
      <c r="B57" s="20" t="str">
        <f>_xlfn.XLOOKUP(InnovationProjectResults[[#This Row],[Team Number]],OfficialTeamList[Team Number],OfficialTeamList[Team Name],"",0,)</f>
        <v/>
      </c>
      <c r="C57" s="22"/>
      <c r="D57" s="22"/>
      <c r="E57" s="22"/>
      <c r="F57" s="22"/>
      <c r="G57" s="22"/>
      <c r="H57" s="22"/>
      <c r="I57" s="22"/>
      <c r="J57" s="22"/>
      <c r="K57" s="22"/>
      <c r="L57" s="22"/>
      <c r="M57" s="8">
        <f>SUM(InnovationProjectResults[[#This Row],[Explore 1]:[Communicate 2 (CV)]])</f>
        <v>0</v>
      </c>
      <c r="N57" s="21">
        <f>IF(InnovationProjectResults[[#This Row],[Team Number]]&gt;0,MIN(_xlfn.RANK.EQ(InnovationProjectResults[[#This Row],[Innovation Project Score]],InnovationProjectResults[Innovation Project Score],0),NumberOfTeams),NumberOfTeams+1)</f>
        <v>9</v>
      </c>
    </row>
    <row r="58" spans="1:14" ht="30" customHeight="1" x14ac:dyDescent="0.25">
      <c r="A58" s="8">
        <f>_xlfn.XLOOKUP(57,OfficialTeamList[Row],OfficialTeamList[Team Number],"ERROR",0)</f>
        <v>0</v>
      </c>
      <c r="B58" s="20" t="str">
        <f>_xlfn.XLOOKUP(InnovationProjectResults[[#This Row],[Team Number]],OfficialTeamList[Team Number],OfficialTeamList[Team Name],"",0,)</f>
        <v/>
      </c>
      <c r="C58" s="22"/>
      <c r="D58" s="22"/>
      <c r="E58" s="22"/>
      <c r="F58" s="22"/>
      <c r="G58" s="22"/>
      <c r="H58" s="22"/>
      <c r="I58" s="22"/>
      <c r="J58" s="22"/>
      <c r="K58" s="22"/>
      <c r="L58" s="22"/>
      <c r="M58" s="8">
        <f>SUM(InnovationProjectResults[[#This Row],[Explore 1]:[Communicate 2 (CV)]])</f>
        <v>0</v>
      </c>
      <c r="N58" s="21">
        <f>IF(InnovationProjectResults[[#This Row],[Team Number]]&gt;0,MIN(_xlfn.RANK.EQ(InnovationProjectResults[[#This Row],[Innovation Project Score]],InnovationProjectResults[Innovation Project Score],0),NumberOfTeams),NumberOfTeams+1)</f>
        <v>9</v>
      </c>
    </row>
    <row r="59" spans="1:14" ht="30" customHeight="1" x14ac:dyDescent="0.25">
      <c r="A59" s="8">
        <f>_xlfn.XLOOKUP(58,OfficialTeamList[Row],OfficialTeamList[Team Number],"ERROR",0)</f>
        <v>0</v>
      </c>
      <c r="B59" s="20" t="str">
        <f>_xlfn.XLOOKUP(InnovationProjectResults[[#This Row],[Team Number]],OfficialTeamList[Team Number],OfficialTeamList[Team Name],"",0,)</f>
        <v/>
      </c>
      <c r="C59" s="22"/>
      <c r="D59" s="22"/>
      <c r="E59" s="22"/>
      <c r="F59" s="22"/>
      <c r="G59" s="22"/>
      <c r="H59" s="22"/>
      <c r="I59" s="22"/>
      <c r="J59" s="22"/>
      <c r="K59" s="22"/>
      <c r="L59" s="22"/>
      <c r="M59" s="8">
        <f>SUM(InnovationProjectResults[[#This Row],[Explore 1]:[Communicate 2 (CV)]])</f>
        <v>0</v>
      </c>
      <c r="N59" s="21">
        <f>IF(InnovationProjectResults[[#This Row],[Team Number]]&gt;0,MIN(_xlfn.RANK.EQ(InnovationProjectResults[[#This Row],[Innovation Project Score]],InnovationProjectResults[Innovation Project Score],0),NumberOfTeams),NumberOfTeams+1)</f>
        <v>9</v>
      </c>
    </row>
    <row r="60" spans="1:14" ht="30" customHeight="1" x14ac:dyDescent="0.25">
      <c r="A60" s="8">
        <f>_xlfn.XLOOKUP(59,OfficialTeamList[Row],OfficialTeamList[Team Number],"ERROR",0)</f>
        <v>0</v>
      </c>
      <c r="B60" s="20" t="str">
        <f>_xlfn.XLOOKUP(InnovationProjectResults[[#This Row],[Team Number]],OfficialTeamList[Team Number],OfficialTeamList[Team Name],"",0,)</f>
        <v/>
      </c>
      <c r="C60" s="22"/>
      <c r="D60" s="22"/>
      <c r="E60" s="22"/>
      <c r="F60" s="22"/>
      <c r="G60" s="22"/>
      <c r="H60" s="22"/>
      <c r="I60" s="22"/>
      <c r="J60" s="22"/>
      <c r="K60" s="22"/>
      <c r="L60" s="22"/>
      <c r="M60" s="8">
        <f>SUM(InnovationProjectResults[[#This Row],[Explore 1]:[Communicate 2 (CV)]])</f>
        <v>0</v>
      </c>
      <c r="N60" s="21">
        <f>IF(InnovationProjectResults[[#This Row],[Team Number]]&gt;0,MIN(_xlfn.RANK.EQ(InnovationProjectResults[[#This Row],[Innovation Project Score]],InnovationProjectResults[Innovation Project Score],0),NumberOfTeams),NumberOfTeams+1)</f>
        <v>9</v>
      </c>
    </row>
    <row r="61" spans="1:14" ht="30" customHeight="1" x14ac:dyDescent="0.25">
      <c r="A61" s="8">
        <f>_xlfn.XLOOKUP(60,OfficialTeamList[Row],OfficialTeamList[Team Number],"ERROR",0)</f>
        <v>0</v>
      </c>
      <c r="B61" s="20" t="str">
        <f>_xlfn.XLOOKUP(InnovationProjectResults[[#This Row],[Team Number]],OfficialTeamList[Team Number],OfficialTeamList[Team Name],"",0,)</f>
        <v/>
      </c>
      <c r="C61" s="22"/>
      <c r="D61" s="22"/>
      <c r="E61" s="22"/>
      <c r="F61" s="22"/>
      <c r="G61" s="22"/>
      <c r="H61" s="22"/>
      <c r="I61" s="22"/>
      <c r="J61" s="22"/>
      <c r="K61" s="22"/>
      <c r="L61" s="22"/>
      <c r="M61" s="8">
        <f>SUM(InnovationProjectResults[[#This Row],[Explore 1]:[Communicate 2 (CV)]])</f>
        <v>0</v>
      </c>
      <c r="N61" s="21">
        <f>IF(InnovationProjectResults[[#This Row],[Team Number]]&gt;0,MIN(_xlfn.RANK.EQ(InnovationProjectResults[[#This Row],[Innovation Project Score]],InnovationProjectResults[Innovation Project Score],0),NumberOfTeams),NumberOfTeams+1)</f>
        <v>9</v>
      </c>
    </row>
    <row r="62" spans="1:14" ht="30" customHeight="1" x14ac:dyDescent="0.25">
      <c r="A62" s="8">
        <f>_xlfn.XLOOKUP(61,OfficialTeamList[Row],OfficialTeamList[Team Number],"ERROR",0)</f>
        <v>0</v>
      </c>
      <c r="B62" s="20" t="str">
        <f>_xlfn.XLOOKUP(InnovationProjectResults[[#This Row],[Team Number]],OfficialTeamList[Team Number],OfficialTeamList[Team Name],"",0,)</f>
        <v/>
      </c>
      <c r="C62" s="22"/>
      <c r="D62" s="22"/>
      <c r="E62" s="22"/>
      <c r="F62" s="22"/>
      <c r="G62" s="22"/>
      <c r="H62" s="22"/>
      <c r="I62" s="22"/>
      <c r="J62" s="22"/>
      <c r="K62" s="22"/>
      <c r="L62" s="22"/>
      <c r="M62" s="8">
        <f>SUM(InnovationProjectResults[[#This Row],[Explore 1]:[Communicate 2 (CV)]])</f>
        <v>0</v>
      </c>
      <c r="N62" s="21">
        <f>IF(InnovationProjectResults[[#This Row],[Team Number]]&gt;0,MIN(_xlfn.RANK.EQ(InnovationProjectResults[[#This Row],[Innovation Project Score]],InnovationProjectResults[Innovation Project Score],0),NumberOfTeams),NumberOfTeams+1)</f>
        <v>9</v>
      </c>
    </row>
    <row r="63" spans="1:14" ht="30" customHeight="1" x14ac:dyDescent="0.25">
      <c r="A63" s="8">
        <f>_xlfn.XLOOKUP(62,OfficialTeamList[Row],OfficialTeamList[Team Number],"ERROR",0)</f>
        <v>0</v>
      </c>
      <c r="B63" s="20" t="str">
        <f>_xlfn.XLOOKUP(InnovationProjectResults[[#This Row],[Team Number]],OfficialTeamList[Team Number],OfficialTeamList[Team Name],"",0,)</f>
        <v/>
      </c>
      <c r="C63" s="22"/>
      <c r="D63" s="22"/>
      <c r="E63" s="22"/>
      <c r="F63" s="22"/>
      <c r="G63" s="22"/>
      <c r="H63" s="22"/>
      <c r="I63" s="22"/>
      <c r="J63" s="22"/>
      <c r="K63" s="22"/>
      <c r="L63" s="22"/>
      <c r="M63" s="8">
        <f>SUM(InnovationProjectResults[[#This Row],[Explore 1]:[Communicate 2 (CV)]])</f>
        <v>0</v>
      </c>
      <c r="N63" s="21">
        <f>IF(InnovationProjectResults[[#This Row],[Team Number]]&gt;0,MIN(_xlfn.RANK.EQ(InnovationProjectResults[[#This Row],[Innovation Project Score]],InnovationProjectResults[Innovation Project Score],0),NumberOfTeams),NumberOfTeams+1)</f>
        <v>9</v>
      </c>
    </row>
    <row r="64" spans="1:14" ht="30" customHeight="1" x14ac:dyDescent="0.25">
      <c r="A64" s="8">
        <f>_xlfn.XLOOKUP(63,OfficialTeamList[Row],OfficialTeamList[Team Number],"ERROR",0)</f>
        <v>0</v>
      </c>
      <c r="B64" s="20" t="str">
        <f>_xlfn.XLOOKUP(InnovationProjectResults[[#This Row],[Team Number]],OfficialTeamList[Team Number],OfficialTeamList[Team Name],"",0,)</f>
        <v/>
      </c>
      <c r="C64" s="22"/>
      <c r="D64" s="22"/>
      <c r="E64" s="22"/>
      <c r="F64" s="22"/>
      <c r="G64" s="22"/>
      <c r="H64" s="22"/>
      <c r="I64" s="22"/>
      <c r="J64" s="22"/>
      <c r="K64" s="22"/>
      <c r="L64" s="22"/>
      <c r="M64" s="8">
        <f>SUM(InnovationProjectResults[[#This Row],[Explore 1]:[Communicate 2 (CV)]])</f>
        <v>0</v>
      </c>
      <c r="N64" s="21">
        <f>IF(InnovationProjectResults[[#This Row],[Team Number]]&gt;0,MIN(_xlfn.RANK.EQ(InnovationProjectResults[[#This Row],[Innovation Project Score]],InnovationProjectResults[Innovation Project Score],0),NumberOfTeams),NumberOfTeams+1)</f>
        <v>9</v>
      </c>
    </row>
    <row r="65" spans="1:14" ht="30" customHeight="1" x14ac:dyDescent="0.25">
      <c r="A65" s="8">
        <f>_xlfn.XLOOKUP(64,OfficialTeamList[Row],OfficialTeamList[Team Number],"ERROR",0)</f>
        <v>0</v>
      </c>
      <c r="B65" s="20" t="str">
        <f>_xlfn.XLOOKUP(InnovationProjectResults[[#This Row],[Team Number]],OfficialTeamList[Team Number],OfficialTeamList[Team Name],"",0,)</f>
        <v/>
      </c>
      <c r="C65" s="22"/>
      <c r="D65" s="22"/>
      <c r="E65" s="22"/>
      <c r="F65" s="22"/>
      <c r="G65" s="22"/>
      <c r="H65" s="22"/>
      <c r="I65" s="22"/>
      <c r="J65" s="22"/>
      <c r="K65" s="22"/>
      <c r="L65" s="22"/>
      <c r="M65" s="8">
        <f>SUM(InnovationProjectResults[[#This Row],[Explore 1]:[Communicate 2 (CV)]])</f>
        <v>0</v>
      </c>
      <c r="N65" s="21">
        <f>IF(InnovationProjectResults[[#This Row],[Team Number]]&gt;0,MIN(_xlfn.RANK.EQ(InnovationProjectResults[[#This Row],[Innovation Project Score]],InnovationProjectResults[Innovation Project Score],0),NumberOfTeams),NumberOfTeams+1)</f>
        <v>9</v>
      </c>
    </row>
    <row r="66" spans="1:14" ht="30" customHeight="1" x14ac:dyDescent="0.25">
      <c r="A66" s="8">
        <f>_xlfn.XLOOKUP(65,OfficialTeamList[Row],OfficialTeamList[Team Number],"ERROR",0)</f>
        <v>0</v>
      </c>
      <c r="B66" s="20" t="str">
        <f>_xlfn.XLOOKUP(InnovationProjectResults[[#This Row],[Team Number]],OfficialTeamList[Team Number],OfficialTeamList[Team Name],"",0,)</f>
        <v/>
      </c>
      <c r="C66" s="22"/>
      <c r="D66" s="22"/>
      <c r="E66" s="22"/>
      <c r="F66" s="22"/>
      <c r="G66" s="22"/>
      <c r="H66" s="22"/>
      <c r="I66" s="22"/>
      <c r="J66" s="22"/>
      <c r="K66" s="22"/>
      <c r="L66" s="22"/>
      <c r="M66" s="8">
        <f>SUM(InnovationProjectResults[[#This Row],[Explore 1]:[Communicate 2 (CV)]])</f>
        <v>0</v>
      </c>
      <c r="N66" s="21">
        <f>IF(InnovationProjectResults[[#This Row],[Team Number]]&gt;0,MIN(_xlfn.RANK.EQ(InnovationProjectResults[[#This Row],[Innovation Project Score]],InnovationProjectResults[Innovation Project Score],0),NumberOfTeams),NumberOfTeams+1)</f>
        <v>9</v>
      </c>
    </row>
    <row r="67" spans="1:14" ht="30" customHeight="1" x14ac:dyDescent="0.25">
      <c r="A67" s="8">
        <f>_xlfn.XLOOKUP(66,OfficialTeamList[Row],OfficialTeamList[Team Number],"ERROR",0)</f>
        <v>0</v>
      </c>
      <c r="B67" s="20" t="str">
        <f>_xlfn.XLOOKUP(InnovationProjectResults[[#This Row],[Team Number]],OfficialTeamList[Team Number],OfficialTeamList[Team Name],"",0,)</f>
        <v/>
      </c>
      <c r="C67" s="22"/>
      <c r="D67" s="22"/>
      <c r="E67" s="22"/>
      <c r="F67" s="22"/>
      <c r="G67" s="22"/>
      <c r="H67" s="22"/>
      <c r="I67" s="22"/>
      <c r="J67" s="22"/>
      <c r="K67" s="22"/>
      <c r="L67" s="22"/>
      <c r="M67" s="8">
        <f>SUM(InnovationProjectResults[[#This Row],[Explore 1]:[Communicate 2 (CV)]])</f>
        <v>0</v>
      </c>
      <c r="N67" s="21">
        <f>IF(InnovationProjectResults[[#This Row],[Team Number]]&gt;0,MIN(_xlfn.RANK.EQ(InnovationProjectResults[[#This Row],[Innovation Project Score]],InnovationProjectResults[Innovation Project Score],0),NumberOfTeams),NumberOfTeams+1)</f>
        <v>9</v>
      </c>
    </row>
    <row r="68" spans="1:14" ht="30" customHeight="1" x14ac:dyDescent="0.25">
      <c r="A68" s="8">
        <f>_xlfn.XLOOKUP(67,OfficialTeamList[Row],OfficialTeamList[Team Number],"ERROR",0)</f>
        <v>0</v>
      </c>
      <c r="B68" s="20" t="str">
        <f>_xlfn.XLOOKUP(InnovationProjectResults[[#This Row],[Team Number]],OfficialTeamList[Team Number],OfficialTeamList[Team Name],"",0,)</f>
        <v/>
      </c>
      <c r="C68" s="22"/>
      <c r="D68" s="22"/>
      <c r="E68" s="22"/>
      <c r="F68" s="22"/>
      <c r="G68" s="22"/>
      <c r="H68" s="22"/>
      <c r="I68" s="22"/>
      <c r="J68" s="22"/>
      <c r="K68" s="22"/>
      <c r="L68" s="22"/>
      <c r="M68" s="8">
        <f>SUM(InnovationProjectResults[[#This Row],[Explore 1]:[Communicate 2 (CV)]])</f>
        <v>0</v>
      </c>
      <c r="N68" s="21">
        <f>IF(InnovationProjectResults[[#This Row],[Team Number]]&gt;0,MIN(_xlfn.RANK.EQ(InnovationProjectResults[[#This Row],[Innovation Project Score]],InnovationProjectResults[Innovation Project Score],0),NumberOfTeams),NumberOfTeams+1)</f>
        <v>9</v>
      </c>
    </row>
    <row r="69" spans="1:14" ht="30" customHeight="1" x14ac:dyDescent="0.25">
      <c r="A69" s="8">
        <f>_xlfn.XLOOKUP(68,OfficialTeamList[Row],OfficialTeamList[Team Number],"ERROR",0)</f>
        <v>0</v>
      </c>
      <c r="B69" s="20" t="str">
        <f>_xlfn.XLOOKUP(InnovationProjectResults[[#This Row],[Team Number]],OfficialTeamList[Team Number],OfficialTeamList[Team Name],"",0,)</f>
        <v/>
      </c>
      <c r="C69" s="22"/>
      <c r="D69" s="22"/>
      <c r="E69" s="22"/>
      <c r="F69" s="22"/>
      <c r="G69" s="22"/>
      <c r="H69" s="22"/>
      <c r="I69" s="22"/>
      <c r="J69" s="22"/>
      <c r="K69" s="22"/>
      <c r="L69" s="22"/>
      <c r="M69" s="8">
        <f>SUM(InnovationProjectResults[[#This Row],[Explore 1]:[Communicate 2 (CV)]])</f>
        <v>0</v>
      </c>
      <c r="N69" s="21">
        <f>IF(InnovationProjectResults[[#This Row],[Team Number]]&gt;0,MIN(_xlfn.RANK.EQ(InnovationProjectResults[[#This Row],[Innovation Project Score]],InnovationProjectResults[Innovation Project Score],0),NumberOfTeams),NumberOfTeams+1)</f>
        <v>9</v>
      </c>
    </row>
    <row r="70" spans="1:14" ht="30" customHeight="1" x14ac:dyDescent="0.25">
      <c r="A70" s="8">
        <f>_xlfn.XLOOKUP(69,OfficialTeamList[Row],OfficialTeamList[Team Number],"ERROR",0)</f>
        <v>0</v>
      </c>
      <c r="B70" s="20" t="str">
        <f>_xlfn.XLOOKUP(InnovationProjectResults[[#This Row],[Team Number]],OfficialTeamList[Team Number],OfficialTeamList[Team Name],"",0,)</f>
        <v/>
      </c>
      <c r="C70" s="22"/>
      <c r="D70" s="22"/>
      <c r="E70" s="22"/>
      <c r="F70" s="22"/>
      <c r="G70" s="22"/>
      <c r="H70" s="22"/>
      <c r="I70" s="22"/>
      <c r="J70" s="22"/>
      <c r="K70" s="22"/>
      <c r="L70" s="22"/>
      <c r="M70" s="8">
        <f>SUM(InnovationProjectResults[[#This Row],[Explore 1]:[Communicate 2 (CV)]])</f>
        <v>0</v>
      </c>
      <c r="N70" s="21">
        <f>IF(InnovationProjectResults[[#This Row],[Team Number]]&gt;0,MIN(_xlfn.RANK.EQ(InnovationProjectResults[[#This Row],[Innovation Project Score]],InnovationProjectResults[Innovation Project Score],0),NumberOfTeams),NumberOfTeams+1)</f>
        <v>9</v>
      </c>
    </row>
    <row r="71" spans="1:14" ht="30" customHeight="1" x14ac:dyDescent="0.25">
      <c r="A71" s="8">
        <f>_xlfn.XLOOKUP(70,OfficialTeamList[Row],OfficialTeamList[Team Number],"ERROR",0)</f>
        <v>0</v>
      </c>
      <c r="B71" s="20" t="str">
        <f>_xlfn.XLOOKUP(InnovationProjectResults[[#This Row],[Team Number]],OfficialTeamList[Team Number],OfficialTeamList[Team Name],"",0,)</f>
        <v/>
      </c>
      <c r="C71" s="22"/>
      <c r="D71" s="22"/>
      <c r="E71" s="22"/>
      <c r="F71" s="22"/>
      <c r="G71" s="22"/>
      <c r="H71" s="22"/>
      <c r="I71" s="22"/>
      <c r="J71" s="22"/>
      <c r="K71" s="22"/>
      <c r="L71" s="22"/>
      <c r="M71" s="8">
        <f>SUM(InnovationProjectResults[[#This Row],[Explore 1]:[Communicate 2 (CV)]])</f>
        <v>0</v>
      </c>
      <c r="N71" s="21">
        <f>IF(InnovationProjectResults[[#This Row],[Team Number]]&gt;0,MIN(_xlfn.RANK.EQ(InnovationProjectResults[[#This Row],[Innovation Project Score]],InnovationProjectResults[Innovation Project Score],0),NumberOfTeams),NumberOfTeams+1)</f>
        <v>9</v>
      </c>
    </row>
    <row r="72" spans="1:14" ht="30" customHeight="1" x14ac:dyDescent="0.25">
      <c r="A72" s="8">
        <f>_xlfn.XLOOKUP(71,OfficialTeamList[Row],OfficialTeamList[Team Number],"ERROR",0)</f>
        <v>0</v>
      </c>
      <c r="B72" s="20" t="str">
        <f>_xlfn.XLOOKUP(InnovationProjectResults[[#This Row],[Team Number]],OfficialTeamList[Team Number],OfficialTeamList[Team Name],"",0,)</f>
        <v/>
      </c>
      <c r="C72" s="22"/>
      <c r="D72" s="22"/>
      <c r="E72" s="22"/>
      <c r="F72" s="22"/>
      <c r="G72" s="22"/>
      <c r="H72" s="22"/>
      <c r="I72" s="22"/>
      <c r="J72" s="22"/>
      <c r="K72" s="22"/>
      <c r="L72" s="22"/>
      <c r="M72" s="8">
        <f>SUM(InnovationProjectResults[[#This Row],[Explore 1]:[Communicate 2 (CV)]])</f>
        <v>0</v>
      </c>
      <c r="N72" s="21">
        <f>IF(InnovationProjectResults[[#This Row],[Team Number]]&gt;0,MIN(_xlfn.RANK.EQ(InnovationProjectResults[[#This Row],[Innovation Project Score]],InnovationProjectResults[Innovation Project Score],0),NumberOfTeams),NumberOfTeams+1)</f>
        <v>9</v>
      </c>
    </row>
    <row r="73" spans="1:14" ht="30" customHeight="1" x14ac:dyDescent="0.25">
      <c r="A73" s="8">
        <f>_xlfn.XLOOKUP(72,OfficialTeamList[Row],OfficialTeamList[Team Number],"ERROR",0)</f>
        <v>0</v>
      </c>
      <c r="B73" s="20" t="str">
        <f>_xlfn.XLOOKUP(InnovationProjectResults[[#This Row],[Team Number]],OfficialTeamList[Team Number],OfficialTeamList[Team Name],"",0,)</f>
        <v/>
      </c>
      <c r="C73" s="22"/>
      <c r="D73" s="22"/>
      <c r="E73" s="22"/>
      <c r="F73" s="22"/>
      <c r="G73" s="22"/>
      <c r="H73" s="22"/>
      <c r="I73" s="22"/>
      <c r="J73" s="22"/>
      <c r="K73" s="22"/>
      <c r="L73" s="22"/>
      <c r="M73" s="8">
        <f>SUM(InnovationProjectResults[[#This Row],[Explore 1]:[Communicate 2 (CV)]])</f>
        <v>0</v>
      </c>
      <c r="N73" s="21">
        <f>IF(InnovationProjectResults[[#This Row],[Team Number]]&gt;0,MIN(_xlfn.RANK.EQ(InnovationProjectResults[[#This Row],[Innovation Project Score]],InnovationProjectResults[Innovation Project Score],0),NumberOfTeams),NumberOfTeams+1)</f>
        <v>9</v>
      </c>
    </row>
    <row r="74" spans="1:14" ht="30" customHeight="1" x14ac:dyDescent="0.25">
      <c r="A74" s="8">
        <f>_xlfn.XLOOKUP(73,OfficialTeamList[Row],OfficialTeamList[Team Number],"ERROR",0)</f>
        <v>0</v>
      </c>
      <c r="B74" s="20" t="str">
        <f>_xlfn.XLOOKUP(InnovationProjectResults[[#This Row],[Team Number]],OfficialTeamList[Team Number],OfficialTeamList[Team Name],"",0,)</f>
        <v/>
      </c>
      <c r="C74" s="22"/>
      <c r="D74" s="22"/>
      <c r="E74" s="22"/>
      <c r="F74" s="22"/>
      <c r="G74" s="22"/>
      <c r="H74" s="22"/>
      <c r="I74" s="22"/>
      <c r="J74" s="22"/>
      <c r="K74" s="22"/>
      <c r="L74" s="22"/>
      <c r="M74" s="8">
        <f>SUM(InnovationProjectResults[[#This Row],[Explore 1]:[Communicate 2 (CV)]])</f>
        <v>0</v>
      </c>
      <c r="N74" s="21">
        <f>IF(InnovationProjectResults[[#This Row],[Team Number]]&gt;0,MIN(_xlfn.RANK.EQ(InnovationProjectResults[[#This Row],[Innovation Project Score]],InnovationProjectResults[Innovation Project Score],0),NumberOfTeams),NumberOfTeams+1)</f>
        <v>9</v>
      </c>
    </row>
    <row r="75" spans="1:14" ht="30" customHeight="1" x14ac:dyDescent="0.25">
      <c r="A75" s="8">
        <f>_xlfn.XLOOKUP(74,OfficialTeamList[Row],OfficialTeamList[Team Number],"ERROR",0)</f>
        <v>0</v>
      </c>
      <c r="B75" s="20" t="str">
        <f>_xlfn.XLOOKUP(InnovationProjectResults[[#This Row],[Team Number]],OfficialTeamList[Team Number],OfficialTeamList[Team Name],"",0,)</f>
        <v/>
      </c>
      <c r="C75" s="22"/>
      <c r="D75" s="22"/>
      <c r="E75" s="22"/>
      <c r="F75" s="22"/>
      <c r="G75" s="22"/>
      <c r="H75" s="22"/>
      <c r="I75" s="22"/>
      <c r="J75" s="22"/>
      <c r="K75" s="22"/>
      <c r="L75" s="22"/>
      <c r="M75" s="8">
        <f>SUM(InnovationProjectResults[[#This Row],[Explore 1]:[Communicate 2 (CV)]])</f>
        <v>0</v>
      </c>
      <c r="N75" s="21">
        <f>IF(InnovationProjectResults[[#This Row],[Team Number]]&gt;0,MIN(_xlfn.RANK.EQ(InnovationProjectResults[[#This Row],[Innovation Project Score]],InnovationProjectResults[Innovation Project Score],0),NumberOfTeams),NumberOfTeams+1)</f>
        <v>9</v>
      </c>
    </row>
    <row r="76" spans="1:14" ht="30" customHeight="1" x14ac:dyDescent="0.25">
      <c r="A76" s="8">
        <f>_xlfn.XLOOKUP(75,OfficialTeamList[Row],OfficialTeamList[Team Number],"ERROR",0)</f>
        <v>0</v>
      </c>
      <c r="B76" s="20" t="str">
        <f>_xlfn.XLOOKUP(InnovationProjectResults[[#This Row],[Team Number]],OfficialTeamList[Team Number],OfficialTeamList[Team Name],"",0,)</f>
        <v/>
      </c>
      <c r="C76" s="22"/>
      <c r="D76" s="22"/>
      <c r="E76" s="22"/>
      <c r="F76" s="22"/>
      <c r="G76" s="22"/>
      <c r="H76" s="22"/>
      <c r="I76" s="22"/>
      <c r="J76" s="22"/>
      <c r="K76" s="22"/>
      <c r="L76" s="22"/>
      <c r="M76" s="8">
        <f>SUM(InnovationProjectResults[[#This Row],[Explore 1]:[Communicate 2 (CV)]])</f>
        <v>0</v>
      </c>
      <c r="N76" s="21">
        <f>IF(InnovationProjectResults[[#This Row],[Team Number]]&gt;0,MIN(_xlfn.RANK.EQ(InnovationProjectResults[[#This Row],[Innovation Project Score]],InnovationProjectResults[Innovation Project Score],0),NumberOfTeams),NumberOfTeams+1)</f>
        <v>9</v>
      </c>
    </row>
    <row r="77" spans="1:14" ht="30" customHeight="1" x14ac:dyDescent="0.25">
      <c r="A77" s="8">
        <f>_xlfn.XLOOKUP(76,OfficialTeamList[Row],OfficialTeamList[Team Number],"ERROR",0)</f>
        <v>0</v>
      </c>
      <c r="B77" s="20" t="str">
        <f>_xlfn.XLOOKUP(InnovationProjectResults[[#This Row],[Team Number]],OfficialTeamList[Team Number],OfficialTeamList[Team Name],"",0,)</f>
        <v/>
      </c>
      <c r="C77" s="22"/>
      <c r="D77" s="22"/>
      <c r="E77" s="22"/>
      <c r="F77" s="22"/>
      <c r="G77" s="22"/>
      <c r="H77" s="22"/>
      <c r="I77" s="22"/>
      <c r="J77" s="22"/>
      <c r="K77" s="22"/>
      <c r="L77" s="22"/>
      <c r="M77" s="8">
        <f>SUM(InnovationProjectResults[[#This Row],[Explore 1]:[Communicate 2 (CV)]])</f>
        <v>0</v>
      </c>
      <c r="N77" s="21">
        <f>IF(InnovationProjectResults[[#This Row],[Team Number]]&gt;0,MIN(_xlfn.RANK.EQ(InnovationProjectResults[[#This Row],[Innovation Project Score]],InnovationProjectResults[Innovation Project Score],0),NumberOfTeams),NumberOfTeams+1)</f>
        <v>9</v>
      </c>
    </row>
    <row r="78" spans="1:14" ht="30" customHeight="1" x14ac:dyDescent="0.25">
      <c r="A78" s="8">
        <f>_xlfn.XLOOKUP(77,OfficialTeamList[Row],OfficialTeamList[Team Number],"ERROR",0)</f>
        <v>0</v>
      </c>
      <c r="B78" s="20" t="str">
        <f>_xlfn.XLOOKUP(InnovationProjectResults[[#This Row],[Team Number]],OfficialTeamList[Team Number],OfficialTeamList[Team Name],"",0,)</f>
        <v/>
      </c>
      <c r="C78" s="22"/>
      <c r="D78" s="22"/>
      <c r="E78" s="22"/>
      <c r="F78" s="22"/>
      <c r="G78" s="22"/>
      <c r="H78" s="22"/>
      <c r="I78" s="22"/>
      <c r="J78" s="22"/>
      <c r="K78" s="22"/>
      <c r="L78" s="22"/>
      <c r="M78" s="8">
        <f>SUM(InnovationProjectResults[[#This Row],[Explore 1]:[Communicate 2 (CV)]])</f>
        <v>0</v>
      </c>
      <c r="N78" s="21">
        <f>IF(InnovationProjectResults[[#This Row],[Team Number]]&gt;0,MIN(_xlfn.RANK.EQ(InnovationProjectResults[[#This Row],[Innovation Project Score]],InnovationProjectResults[Innovation Project Score],0),NumberOfTeams),NumberOfTeams+1)</f>
        <v>9</v>
      </c>
    </row>
    <row r="79" spans="1:14" ht="30" customHeight="1" x14ac:dyDescent="0.25">
      <c r="A79" s="8">
        <f>_xlfn.XLOOKUP(78,OfficialTeamList[Row],OfficialTeamList[Team Number],"ERROR",0)</f>
        <v>0</v>
      </c>
      <c r="B79" s="20" t="str">
        <f>_xlfn.XLOOKUP(InnovationProjectResults[[#This Row],[Team Number]],OfficialTeamList[Team Number],OfficialTeamList[Team Name],"",0,)</f>
        <v/>
      </c>
      <c r="C79" s="22"/>
      <c r="D79" s="22"/>
      <c r="E79" s="22"/>
      <c r="F79" s="22"/>
      <c r="G79" s="22"/>
      <c r="H79" s="22"/>
      <c r="I79" s="22"/>
      <c r="J79" s="22"/>
      <c r="K79" s="22"/>
      <c r="L79" s="22"/>
      <c r="M79" s="8">
        <f>SUM(InnovationProjectResults[[#This Row],[Explore 1]:[Communicate 2 (CV)]])</f>
        <v>0</v>
      </c>
      <c r="N79" s="21">
        <f>IF(InnovationProjectResults[[#This Row],[Team Number]]&gt;0,MIN(_xlfn.RANK.EQ(InnovationProjectResults[[#This Row],[Innovation Project Score]],InnovationProjectResults[Innovation Project Score],0),NumberOfTeams),NumberOfTeams+1)</f>
        <v>9</v>
      </c>
    </row>
    <row r="80" spans="1:14" ht="30" customHeight="1" x14ac:dyDescent="0.25">
      <c r="A80" s="8">
        <f>_xlfn.XLOOKUP(79,OfficialTeamList[Row],OfficialTeamList[Team Number],"ERROR",0)</f>
        <v>0</v>
      </c>
      <c r="B80" s="20" t="str">
        <f>_xlfn.XLOOKUP(InnovationProjectResults[[#This Row],[Team Number]],OfficialTeamList[Team Number],OfficialTeamList[Team Name],"",0,)</f>
        <v/>
      </c>
      <c r="C80" s="22"/>
      <c r="D80" s="22"/>
      <c r="E80" s="22"/>
      <c r="F80" s="22"/>
      <c r="G80" s="22"/>
      <c r="H80" s="22"/>
      <c r="I80" s="22"/>
      <c r="J80" s="22"/>
      <c r="K80" s="22"/>
      <c r="L80" s="22"/>
      <c r="M80" s="8">
        <f>SUM(InnovationProjectResults[[#This Row],[Explore 1]:[Communicate 2 (CV)]])</f>
        <v>0</v>
      </c>
      <c r="N80" s="21">
        <f>IF(InnovationProjectResults[[#This Row],[Team Number]]&gt;0,MIN(_xlfn.RANK.EQ(InnovationProjectResults[[#This Row],[Innovation Project Score]],InnovationProjectResults[Innovation Project Score],0),NumberOfTeams),NumberOfTeams+1)</f>
        <v>9</v>
      </c>
    </row>
    <row r="81" spans="1:14" ht="30" customHeight="1" x14ac:dyDescent="0.25">
      <c r="A81" s="8">
        <f>_xlfn.XLOOKUP(80,OfficialTeamList[Row],OfficialTeamList[Team Number],"ERROR",0)</f>
        <v>0</v>
      </c>
      <c r="B81" s="20" t="str">
        <f>_xlfn.XLOOKUP(InnovationProjectResults[[#This Row],[Team Number]],OfficialTeamList[Team Number],OfficialTeamList[Team Name],"",0,)</f>
        <v/>
      </c>
      <c r="C81" s="22"/>
      <c r="D81" s="22"/>
      <c r="E81" s="22"/>
      <c r="F81" s="22"/>
      <c r="G81" s="22"/>
      <c r="H81" s="22"/>
      <c r="I81" s="22"/>
      <c r="J81" s="22"/>
      <c r="K81" s="22"/>
      <c r="L81" s="22"/>
      <c r="M81" s="8">
        <f>SUM(InnovationProjectResults[[#This Row],[Explore 1]:[Communicate 2 (CV)]])</f>
        <v>0</v>
      </c>
      <c r="N81" s="21">
        <f>IF(InnovationProjectResults[[#This Row],[Team Number]]&gt;0,MIN(_xlfn.RANK.EQ(InnovationProjectResults[[#This Row],[Innovation Project Score]],InnovationProjectResults[Innovation Project Score],0),NumberOfTeams),NumberOfTeams+1)</f>
        <v>9</v>
      </c>
    </row>
    <row r="82" spans="1:14" ht="30" customHeight="1" x14ac:dyDescent="0.25">
      <c r="A82" s="8">
        <f>_xlfn.XLOOKUP(81,OfficialTeamList[Row],OfficialTeamList[Team Number],"ERROR",0)</f>
        <v>0</v>
      </c>
      <c r="B82" s="20" t="str">
        <f>_xlfn.XLOOKUP(InnovationProjectResults[[#This Row],[Team Number]],OfficialTeamList[Team Number],OfficialTeamList[Team Name],"",0,)</f>
        <v/>
      </c>
      <c r="C82" s="22"/>
      <c r="D82" s="22"/>
      <c r="E82" s="22"/>
      <c r="F82" s="22"/>
      <c r="G82" s="22"/>
      <c r="H82" s="22"/>
      <c r="I82" s="22"/>
      <c r="J82" s="22"/>
      <c r="K82" s="22"/>
      <c r="L82" s="22"/>
      <c r="M82" s="8">
        <f>SUM(InnovationProjectResults[[#This Row],[Explore 1]:[Communicate 2 (CV)]])</f>
        <v>0</v>
      </c>
      <c r="N82" s="21">
        <f>IF(InnovationProjectResults[[#This Row],[Team Number]]&gt;0,MIN(_xlfn.RANK.EQ(InnovationProjectResults[[#This Row],[Innovation Project Score]],InnovationProjectResults[Innovation Project Score],0),NumberOfTeams),NumberOfTeams+1)</f>
        <v>9</v>
      </c>
    </row>
    <row r="83" spans="1:14" ht="30" customHeight="1" x14ac:dyDescent="0.25">
      <c r="A83" s="8">
        <f>_xlfn.XLOOKUP(82,OfficialTeamList[Row],OfficialTeamList[Team Number],"ERROR",0)</f>
        <v>0</v>
      </c>
      <c r="B83" s="20" t="str">
        <f>_xlfn.XLOOKUP(InnovationProjectResults[[#This Row],[Team Number]],OfficialTeamList[Team Number],OfficialTeamList[Team Name],"",0,)</f>
        <v/>
      </c>
      <c r="C83" s="22"/>
      <c r="D83" s="22"/>
      <c r="E83" s="22"/>
      <c r="F83" s="22"/>
      <c r="G83" s="22"/>
      <c r="H83" s="22"/>
      <c r="I83" s="22"/>
      <c r="J83" s="22"/>
      <c r="K83" s="22"/>
      <c r="L83" s="22"/>
      <c r="M83" s="8">
        <f>SUM(InnovationProjectResults[[#This Row],[Explore 1]:[Communicate 2 (CV)]])</f>
        <v>0</v>
      </c>
      <c r="N83" s="21">
        <f>IF(InnovationProjectResults[[#This Row],[Team Number]]&gt;0,MIN(_xlfn.RANK.EQ(InnovationProjectResults[[#This Row],[Innovation Project Score]],InnovationProjectResults[Innovation Project Score],0),NumberOfTeams),NumberOfTeams+1)</f>
        <v>9</v>
      </c>
    </row>
    <row r="84" spans="1:14" ht="30" customHeight="1" x14ac:dyDescent="0.25">
      <c r="A84" s="8">
        <f>_xlfn.XLOOKUP(83,OfficialTeamList[Row],OfficialTeamList[Team Number],"ERROR",0)</f>
        <v>0</v>
      </c>
      <c r="B84" s="20" t="str">
        <f>_xlfn.XLOOKUP(InnovationProjectResults[[#This Row],[Team Number]],OfficialTeamList[Team Number],OfficialTeamList[Team Name],"",0,)</f>
        <v/>
      </c>
      <c r="C84" s="22"/>
      <c r="D84" s="22"/>
      <c r="E84" s="22"/>
      <c r="F84" s="22"/>
      <c r="G84" s="22"/>
      <c r="H84" s="22"/>
      <c r="I84" s="22"/>
      <c r="J84" s="22"/>
      <c r="K84" s="22"/>
      <c r="L84" s="22"/>
      <c r="M84" s="8">
        <f>SUM(InnovationProjectResults[[#This Row],[Explore 1]:[Communicate 2 (CV)]])</f>
        <v>0</v>
      </c>
      <c r="N84" s="21">
        <f>IF(InnovationProjectResults[[#This Row],[Team Number]]&gt;0,MIN(_xlfn.RANK.EQ(InnovationProjectResults[[#This Row],[Innovation Project Score]],InnovationProjectResults[Innovation Project Score],0),NumberOfTeams),NumberOfTeams+1)</f>
        <v>9</v>
      </c>
    </row>
    <row r="85" spans="1:14" ht="30" customHeight="1" x14ac:dyDescent="0.25">
      <c r="A85" s="8">
        <f>_xlfn.XLOOKUP(84,OfficialTeamList[Row],OfficialTeamList[Team Number],"ERROR",0)</f>
        <v>0</v>
      </c>
      <c r="B85" s="20" t="str">
        <f>_xlfn.XLOOKUP(InnovationProjectResults[[#This Row],[Team Number]],OfficialTeamList[Team Number],OfficialTeamList[Team Name],"",0,)</f>
        <v/>
      </c>
      <c r="C85" s="22"/>
      <c r="D85" s="22"/>
      <c r="E85" s="22"/>
      <c r="F85" s="22"/>
      <c r="G85" s="22"/>
      <c r="H85" s="22"/>
      <c r="I85" s="22"/>
      <c r="J85" s="22"/>
      <c r="K85" s="22"/>
      <c r="L85" s="22"/>
      <c r="M85" s="8">
        <f>SUM(InnovationProjectResults[[#This Row],[Explore 1]:[Communicate 2 (CV)]])</f>
        <v>0</v>
      </c>
      <c r="N85" s="21">
        <f>IF(InnovationProjectResults[[#This Row],[Team Number]]&gt;0,MIN(_xlfn.RANK.EQ(InnovationProjectResults[[#This Row],[Innovation Project Score]],InnovationProjectResults[Innovation Project Score],0),NumberOfTeams),NumberOfTeams+1)</f>
        <v>9</v>
      </c>
    </row>
    <row r="86" spans="1:14" ht="30" customHeight="1" x14ac:dyDescent="0.25">
      <c r="A86" s="8">
        <f>_xlfn.XLOOKUP(85,OfficialTeamList[Row],OfficialTeamList[Team Number],"ERROR",0)</f>
        <v>0</v>
      </c>
      <c r="B86" s="20" t="str">
        <f>_xlfn.XLOOKUP(InnovationProjectResults[[#This Row],[Team Number]],OfficialTeamList[Team Number],OfficialTeamList[Team Name],"",0,)</f>
        <v/>
      </c>
      <c r="C86" s="22"/>
      <c r="D86" s="22"/>
      <c r="E86" s="22"/>
      <c r="F86" s="22"/>
      <c r="G86" s="22"/>
      <c r="H86" s="22"/>
      <c r="I86" s="22"/>
      <c r="J86" s="22"/>
      <c r="K86" s="22"/>
      <c r="L86" s="22"/>
      <c r="M86" s="8">
        <f>SUM(InnovationProjectResults[[#This Row],[Explore 1]:[Communicate 2 (CV)]])</f>
        <v>0</v>
      </c>
      <c r="N86" s="21">
        <f>IF(InnovationProjectResults[[#This Row],[Team Number]]&gt;0,MIN(_xlfn.RANK.EQ(InnovationProjectResults[[#This Row],[Innovation Project Score]],InnovationProjectResults[Innovation Project Score],0),NumberOfTeams),NumberOfTeams+1)</f>
        <v>9</v>
      </c>
    </row>
    <row r="87" spans="1:14" ht="30" customHeight="1" x14ac:dyDescent="0.25">
      <c r="A87" s="8">
        <f>_xlfn.XLOOKUP(86,OfficialTeamList[Row],OfficialTeamList[Team Number],"ERROR",0)</f>
        <v>0</v>
      </c>
      <c r="B87" s="20" t="str">
        <f>_xlfn.XLOOKUP(InnovationProjectResults[[#This Row],[Team Number]],OfficialTeamList[Team Number],OfficialTeamList[Team Name],"",0,)</f>
        <v/>
      </c>
      <c r="C87" s="22"/>
      <c r="D87" s="22"/>
      <c r="E87" s="22"/>
      <c r="F87" s="22"/>
      <c r="G87" s="22"/>
      <c r="H87" s="22"/>
      <c r="I87" s="22"/>
      <c r="J87" s="22"/>
      <c r="K87" s="22"/>
      <c r="L87" s="22"/>
      <c r="M87" s="8">
        <f>SUM(InnovationProjectResults[[#This Row],[Explore 1]:[Communicate 2 (CV)]])</f>
        <v>0</v>
      </c>
      <c r="N87" s="21">
        <f>IF(InnovationProjectResults[[#This Row],[Team Number]]&gt;0,MIN(_xlfn.RANK.EQ(InnovationProjectResults[[#This Row],[Innovation Project Score]],InnovationProjectResults[Innovation Project Score],0),NumberOfTeams),NumberOfTeams+1)</f>
        <v>9</v>
      </c>
    </row>
    <row r="88" spans="1:14" ht="30" customHeight="1" x14ac:dyDescent="0.25">
      <c r="A88" s="8">
        <f>_xlfn.XLOOKUP(87,OfficialTeamList[Row],OfficialTeamList[Team Number],"ERROR",0)</f>
        <v>0</v>
      </c>
      <c r="B88" s="20" t="str">
        <f>_xlfn.XLOOKUP(InnovationProjectResults[[#This Row],[Team Number]],OfficialTeamList[Team Number],OfficialTeamList[Team Name],"",0,)</f>
        <v/>
      </c>
      <c r="C88" s="22"/>
      <c r="D88" s="22"/>
      <c r="E88" s="22"/>
      <c r="F88" s="22"/>
      <c r="G88" s="22"/>
      <c r="H88" s="22"/>
      <c r="I88" s="22"/>
      <c r="J88" s="22"/>
      <c r="K88" s="22"/>
      <c r="L88" s="22"/>
      <c r="M88" s="8">
        <f>SUM(InnovationProjectResults[[#This Row],[Explore 1]:[Communicate 2 (CV)]])</f>
        <v>0</v>
      </c>
      <c r="N88" s="21">
        <f>IF(InnovationProjectResults[[#This Row],[Team Number]]&gt;0,MIN(_xlfn.RANK.EQ(InnovationProjectResults[[#This Row],[Innovation Project Score]],InnovationProjectResults[Innovation Project Score],0),NumberOfTeams),NumberOfTeams+1)</f>
        <v>9</v>
      </c>
    </row>
    <row r="89" spans="1:14" ht="30" customHeight="1" x14ac:dyDescent="0.25">
      <c r="A89" s="8">
        <f>_xlfn.XLOOKUP(88,OfficialTeamList[Row],OfficialTeamList[Team Number],"ERROR",0)</f>
        <v>0</v>
      </c>
      <c r="B89" s="20" t="str">
        <f>_xlfn.XLOOKUP(InnovationProjectResults[[#This Row],[Team Number]],OfficialTeamList[Team Number],OfficialTeamList[Team Name],"",0,)</f>
        <v/>
      </c>
      <c r="C89" s="22"/>
      <c r="D89" s="22"/>
      <c r="E89" s="22"/>
      <c r="F89" s="22"/>
      <c r="G89" s="22"/>
      <c r="H89" s="22"/>
      <c r="I89" s="22"/>
      <c r="J89" s="22"/>
      <c r="K89" s="22"/>
      <c r="L89" s="22"/>
      <c r="M89" s="8">
        <f>SUM(InnovationProjectResults[[#This Row],[Explore 1]:[Communicate 2 (CV)]])</f>
        <v>0</v>
      </c>
      <c r="N89" s="21">
        <f>IF(InnovationProjectResults[[#This Row],[Team Number]]&gt;0,MIN(_xlfn.RANK.EQ(InnovationProjectResults[[#This Row],[Innovation Project Score]],InnovationProjectResults[Innovation Project Score],0),NumberOfTeams),NumberOfTeams+1)</f>
        <v>9</v>
      </c>
    </row>
    <row r="90" spans="1:14" ht="30" customHeight="1" x14ac:dyDescent="0.25">
      <c r="A90" s="8">
        <f>_xlfn.XLOOKUP(89,OfficialTeamList[Row],OfficialTeamList[Team Number],"ERROR",0)</f>
        <v>0</v>
      </c>
      <c r="B90" s="20" t="str">
        <f>_xlfn.XLOOKUP(InnovationProjectResults[[#This Row],[Team Number]],OfficialTeamList[Team Number],OfficialTeamList[Team Name],"",0,)</f>
        <v/>
      </c>
      <c r="C90" s="22"/>
      <c r="D90" s="22"/>
      <c r="E90" s="22"/>
      <c r="F90" s="22"/>
      <c r="G90" s="22"/>
      <c r="H90" s="22"/>
      <c r="I90" s="22"/>
      <c r="J90" s="22"/>
      <c r="K90" s="22"/>
      <c r="L90" s="22"/>
      <c r="M90" s="8">
        <f>SUM(InnovationProjectResults[[#This Row],[Explore 1]:[Communicate 2 (CV)]])</f>
        <v>0</v>
      </c>
      <c r="N90" s="21">
        <f>IF(InnovationProjectResults[[#This Row],[Team Number]]&gt;0,MIN(_xlfn.RANK.EQ(InnovationProjectResults[[#This Row],[Innovation Project Score]],InnovationProjectResults[Innovation Project Score],0),NumberOfTeams),NumberOfTeams+1)</f>
        <v>9</v>
      </c>
    </row>
    <row r="91" spans="1:14" ht="30" customHeight="1" x14ac:dyDescent="0.25">
      <c r="A91" s="8">
        <f>_xlfn.XLOOKUP(90,OfficialTeamList[Row],OfficialTeamList[Team Number],"ERROR",0)</f>
        <v>0</v>
      </c>
      <c r="B91" s="20" t="str">
        <f>_xlfn.XLOOKUP(InnovationProjectResults[[#This Row],[Team Number]],OfficialTeamList[Team Number],OfficialTeamList[Team Name],"",0,)</f>
        <v/>
      </c>
      <c r="C91" s="22"/>
      <c r="D91" s="22"/>
      <c r="E91" s="22"/>
      <c r="F91" s="22"/>
      <c r="G91" s="22"/>
      <c r="H91" s="22"/>
      <c r="I91" s="22"/>
      <c r="J91" s="22"/>
      <c r="K91" s="22"/>
      <c r="L91" s="22"/>
      <c r="M91" s="8">
        <f>SUM(InnovationProjectResults[[#This Row],[Explore 1]:[Communicate 2 (CV)]])</f>
        <v>0</v>
      </c>
      <c r="N91" s="21">
        <f>IF(InnovationProjectResults[[#This Row],[Team Number]]&gt;0,MIN(_xlfn.RANK.EQ(InnovationProjectResults[[#This Row],[Innovation Project Score]],InnovationProjectResults[Innovation Project Score],0),NumberOfTeams),NumberOfTeams+1)</f>
        <v>9</v>
      </c>
    </row>
    <row r="92" spans="1:14" ht="30" customHeight="1" x14ac:dyDescent="0.25">
      <c r="A92" s="8">
        <f>_xlfn.XLOOKUP(91,OfficialTeamList[Row],OfficialTeamList[Team Number],"ERROR",0)</f>
        <v>0</v>
      </c>
      <c r="B92" s="20" t="str">
        <f>_xlfn.XLOOKUP(InnovationProjectResults[[#This Row],[Team Number]],OfficialTeamList[Team Number],OfficialTeamList[Team Name],"",0,)</f>
        <v/>
      </c>
      <c r="C92" s="22"/>
      <c r="D92" s="22"/>
      <c r="E92" s="22"/>
      <c r="F92" s="22"/>
      <c r="G92" s="22"/>
      <c r="H92" s="22"/>
      <c r="I92" s="22"/>
      <c r="J92" s="22"/>
      <c r="K92" s="22"/>
      <c r="L92" s="22"/>
      <c r="M92" s="8">
        <f>SUM(InnovationProjectResults[[#This Row],[Explore 1]:[Communicate 2 (CV)]])</f>
        <v>0</v>
      </c>
      <c r="N92" s="21">
        <f>IF(InnovationProjectResults[[#This Row],[Team Number]]&gt;0,MIN(_xlfn.RANK.EQ(InnovationProjectResults[[#This Row],[Innovation Project Score]],InnovationProjectResults[Innovation Project Score],0),NumberOfTeams),NumberOfTeams+1)</f>
        <v>9</v>
      </c>
    </row>
    <row r="93" spans="1:14" ht="30" customHeight="1" x14ac:dyDescent="0.25">
      <c r="A93" s="8">
        <f>_xlfn.XLOOKUP(92,OfficialTeamList[Row],OfficialTeamList[Team Number],"ERROR",0)</f>
        <v>0</v>
      </c>
      <c r="B93" s="20" t="str">
        <f>_xlfn.XLOOKUP(InnovationProjectResults[[#This Row],[Team Number]],OfficialTeamList[Team Number],OfficialTeamList[Team Name],"",0,)</f>
        <v/>
      </c>
      <c r="C93" s="22"/>
      <c r="D93" s="22"/>
      <c r="E93" s="22"/>
      <c r="F93" s="22"/>
      <c r="G93" s="22"/>
      <c r="H93" s="22"/>
      <c r="I93" s="22"/>
      <c r="J93" s="22"/>
      <c r="K93" s="22"/>
      <c r="L93" s="22"/>
      <c r="M93" s="8">
        <f>SUM(InnovationProjectResults[[#This Row],[Explore 1]:[Communicate 2 (CV)]])</f>
        <v>0</v>
      </c>
      <c r="N93" s="21">
        <f>IF(InnovationProjectResults[[#This Row],[Team Number]]&gt;0,MIN(_xlfn.RANK.EQ(InnovationProjectResults[[#This Row],[Innovation Project Score]],InnovationProjectResults[Innovation Project Score],0),NumberOfTeams),NumberOfTeams+1)</f>
        <v>9</v>
      </c>
    </row>
    <row r="94" spans="1:14" ht="30" customHeight="1" x14ac:dyDescent="0.25">
      <c r="A94" s="8">
        <f>_xlfn.XLOOKUP(93,OfficialTeamList[Row],OfficialTeamList[Team Number],"ERROR",0)</f>
        <v>0</v>
      </c>
      <c r="B94" s="20" t="str">
        <f>_xlfn.XLOOKUP(InnovationProjectResults[[#This Row],[Team Number]],OfficialTeamList[Team Number],OfficialTeamList[Team Name],"",0,)</f>
        <v/>
      </c>
      <c r="C94" s="22"/>
      <c r="D94" s="22"/>
      <c r="E94" s="22"/>
      <c r="F94" s="22"/>
      <c r="G94" s="22"/>
      <c r="H94" s="22"/>
      <c r="I94" s="22"/>
      <c r="J94" s="22"/>
      <c r="K94" s="22"/>
      <c r="L94" s="22"/>
      <c r="M94" s="8">
        <f>SUM(InnovationProjectResults[[#This Row],[Explore 1]:[Communicate 2 (CV)]])</f>
        <v>0</v>
      </c>
      <c r="N94" s="21">
        <f>IF(InnovationProjectResults[[#This Row],[Team Number]]&gt;0,MIN(_xlfn.RANK.EQ(InnovationProjectResults[[#This Row],[Innovation Project Score]],InnovationProjectResults[Innovation Project Score],0),NumberOfTeams),NumberOfTeams+1)</f>
        <v>9</v>
      </c>
    </row>
    <row r="95" spans="1:14" ht="30" customHeight="1" x14ac:dyDescent="0.25">
      <c r="A95" s="8">
        <f>_xlfn.XLOOKUP(94,OfficialTeamList[Row],OfficialTeamList[Team Number],"ERROR",0)</f>
        <v>0</v>
      </c>
      <c r="B95" s="20" t="str">
        <f>_xlfn.XLOOKUP(InnovationProjectResults[[#This Row],[Team Number]],OfficialTeamList[Team Number],OfficialTeamList[Team Name],"",0,)</f>
        <v/>
      </c>
      <c r="C95" s="22"/>
      <c r="D95" s="22"/>
      <c r="E95" s="22"/>
      <c r="F95" s="22"/>
      <c r="G95" s="22"/>
      <c r="H95" s="22"/>
      <c r="I95" s="22"/>
      <c r="J95" s="22"/>
      <c r="K95" s="22"/>
      <c r="L95" s="22"/>
      <c r="M95" s="8">
        <f>SUM(InnovationProjectResults[[#This Row],[Explore 1]:[Communicate 2 (CV)]])</f>
        <v>0</v>
      </c>
      <c r="N95" s="21">
        <f>IF(InnovationProjectResults[[#This Row],[Team Number]]&gt;0,MIN(_xlfn.RANK.EQ(InnovationProjectResults[[#This Row],[Innovation Project Score]],InnovationProjectResults[Innovation Project Score],0),NumberOfTeams),NumberOfTeams+1)</f>
        <v>9</v>
      </c>
    </row>
    <row r="96" spans="1:14" ht="30" customHeight="1" x14ac:dyDescent="0.25">
      <c r="A96" s="8">
        <f>_xlfn.XLOOKUP(95,OfficialTeamList[Row],OfficialTeamList[Team Number],"ERROR",0)</f>
        <v>0</v>
      </c>
      <c r="B96" s="20" t="str">
        <f>_xlfn.XLOOKUP(InnovationProjectResults[[#This Row],[Team Number]],OfficialTeamList[Team Number],OfficialTeamList[Team Name],"",0,)</f>
        <v/>
      </c>
      <c r="C96" s="22"/>
      <c r="D96" s="22"/>
      <c r="E96" s="22"/>
      <c r="F96" s="22"/>
      <c r="G96" s="22"/>
      <c r="H96" s="22"/>
      <c r="I96" s="22"/>
      <c r="J96" s="22"/>
      <c r="K96" s="22"/>
      <c r="L96" s="22"/>
      <c r="M96" s="8">
        <f>SUM(InnovationProjectResults[[#This Row],[Explore 1]:[Communicate 2 (CV)]])</f>
        <v>0</v>
      </c>
      <c r="N96" s="21">
        <f>IF(InnovationProjectResults[[#This Row],[Team Number]]&gt;0,MIN(_xlfn.RANK.EQ(InnovationProjectResults[[#This Row],[Innovation Project Score]],InnovationProjectResults[Innovation Project Score],0),NumberOfTeams),NumberOfTeams+1)</f>
        <v>9</v>
      </c>
    </row>
    <row r="97" spans="1:14" ht="30" customHeight="1" x14ac:dyDescent="0.25">
      <c r="A97" s="8">
        <f>_xlfn.XLOOKUP(96,OfficialTeamList[Row],OfficialTeamList[Team Number],"ERROR",0)</f>
        <v>0</v>
      </c>
      <c r="B97" s="20" t="str">
        <f>_xlfn.XLOOKUP(InnovationProjectResults[[#This Row],[Team Number]],OfficialTeamList[Team Number],OfficialTeamList[Team Name],"",0,)</f>
        <v/>
      </c>
      <c r="C97" s="22"/>
      <c r="D97" s="22"/>
      <c r="E97" s="22"/>
      <c r="F97" s="22"/>
      <c r="G97" s="22"/>
      <c r="H97" s="22"/>
      <c r="I97" s="22"/>
      <c r="J97" s="22"/>
      <c r="K97" s="22"/>
      <c r="L97" s="22"/>
      <c r="M97" s="8">
        <f>SUM(InnovationProjectResults[[#This Row],[Explore 1]:[Communicate 2 (CV)]])</f>
        <v>0</v>
      </c>
      <c r="N97" s="21">
        <f>IF(InnovationProjectResults[[#This Row],[Team Number]]&gt;0,MIN(_xlfn.RANK.EQ(InnovationProjectResults[[#This Row],[Innovation Project Score]],InnovationProjectResults[Innovation Project Score],0),NumberOfTeams),NumberOfTeams+1)</f>
        <v>9</v>
      </c>
    </row>
    <row r="98" spans="1:14" ht="30" customHeight="1" x14ac:dyDescent="0.25">
      <c r="A98" s="8">
        <f>_xlfn.XLOOKUP(97,OfficialTeamList[Row],OfficialTeamList[Team Number],"ERROR",0)</f>
        <v>0</v>
      </c>
      <c r="B98" s="20" t="str">
        <f>_xlfn.XLOOKUP(InnovationProjectResults[[#This Row],[Team Number]],OfficialTeamList[Team Number],OfficialTeamList[Team Name],"",0,)</f>
        <v/>
      </c>
      <c r="C98" s="22"/>
      <c r="D98" s="22"/>
      <c r="E98" s="22"/>
      <c r="F98" s="22"/>
      <c r="G98" s="22"/>
      <c r="H98" s="22"/>
      <c r="I98" s="22"/>
      <c r="J98" s="22"/>
      <c r="K98" s="22"/>
      <c r="L98" s="22"/>
      <c r="M98" s="8">
        <f>SUM(InnovationProjectResults[[#This Row],[Explore 1]:[Communicate 2 (CV)]])</f>
        <v>0</v>
      </c>
      <c r="N98" s="21">
        <f>IF(InnovationProjectResults[[#This Row],[Team Number]]&gt;0,MIN(_xlfn.RANK.EQ(InnovationProjectResults[[#This Row],[Innovation Project Score]],InnovationProjectResults[Innovation Project Score],0),NumberOfTeams),NumberOfTeams+1)</f>
        <v>9</v>
      </c>
    </row>
    <row r="99" spans="1:14" ht="30" customHeight="1" x14ac:dyDescent="0.25">
      <c r="A99" s="8">
        <f>_xlfn.XLOOKUP(98,OfficialTeamList[Row],OfficialTeamList[Team Number],"ERROR",0)</f>
        <v>0</v>
      </c>
      <c r="B99" s="20" t="str">
        <f>_xlfn.XLOOKUP(InnovationProjectResults[[#This Row],[Team Number]],OfficialTeamList[Team Number],OfficialTeamList[Team Name],"",0,)</f>
        <v/>
      </c>
      <c r="C99" s="22"/>
      <c r="D99" s="22"/>
      <c r="E99" s="22"/>
      <c r="F99" s="22"/>
      <c r="G99" s="22"/>
      <c r="H99" s="22"/>
      <c r="I99" s="22"/>
      <c r="J99" s="22"/>
      <c r="K99" s="22"/>
      <c r="L99" s="22"/>
      <c r="M99" s="8">
        <f>SUM(InnovationProjectResults[[#This Row],[Explore 1]:[Communicate 2 (CV)]])</f>
        <v>0</v>
      </c>
      <c r="N99" s="21">
        <f>IF(InnovationProjectResults[[#This Row],[Team Number]]&gt;0,MIN(_xlfn.RANK.EQ(InnovationProjectResults[[#This Row],[Innovation Project Score]],InnovationProjectResults[Innovation Project Score],0),NumberOfTeams),NumberOfTeams+1)</f>
        <v>9</v>
      </c>
    </row>
    <row r="100" spans="1:14" ht="30" customHeight="1" x14ac:dyDescent="0.25">
      <c r="A100" s="8">
        <f>_xlfn.XLOOKUP(99,OfficialTeamList[Row],OfficialTeamList[Team Number],"ERROR",0)</f>
        <v>0</v>
      </c>
      <c r="B100" s="20" t="str">
        <f>_xlfn.XLOOKUP(InnovationProjectResults[[#This Row],[Team Number]],OfficialTeamList[Team Number],OfficialTeamList[Team Name],"",0,)</f>
        <v/>
      </c>
      <c r="C100" s="22"/>
      <c r="D100" s="22"/>
      <c r="E100" s="22"/>
      <c r="F100" s="22"/>
      <c r="G100" s="22"/>
      <c r="H100" s="22"/>
      <c r="I100" s="22"/>
      <c r="J100" s="22"/>
      <c r="K100" s="22"/>
      <c r="L100" s="22"/>
      <c r="M100" s="8">
        <f>SUM(InnovationProjectResults[[#This Row],[Explore 1]:[Communicate 2 (CV)]])</f>
        <v>0</v>
      </c>
      <c r="N100" s="21">
        <f>IF(InnovationProjectResults[[#This Row],[Team Number]]&gt;0,MIN(_xlfn.RANK.EQ(InnovationProjectResults[[#This Row],[Innovation Project Score]],InnovationProjectResults[Innovation Project Score],0),NumberOfTeams),NumberOfTeams+1)</f>
        <v>9</v>
      </c>
    </row>
    <row r="101" spans="1:14" ht="30" customHeight="1" x14ac:dyDescent="0.25">
      <c r="A101" s="8">
        <f>_xlfn.XLOOKUP(100,OfficialTeamList[Row],OfficialTeamList[Team Number],"ERROR",0)</f>
        <v>0</v>
      </c>
      <c r="B101" s="20" t="str">
        <f>_xlfn.XLOOKUP(InnovationProjectResults[[#This Row],[Team Number]],OfficialTeamList[Team Number],OfficialTeamList[Team Name],"",0,)</f>
        <v/>
      </c>
      <c r="C101" s="22"/>
      <c r="D101" s="22"/>
      <c r="E101" s="22"/>
      <c r="F101" s="22"/>
      <c r="G101" s="22"/>
      <c r="H101" s="22"/>
      <c r="I101" s="22"/>
      <c r="J101" s="22"/>
      <c r="K101" s="22"/>
      <c r="L101" s="22"/>
      <c r="M101" s="8">
        <f>SUM(InnovationProjectResults[[#This Row],[Explore 1]:[Communicate 2 (CV)]])</f>
        <v>0</v>
      </c>
      <c r="N101" s="21">
        <f>IF(InnovationProjectResults[[#This Row],[Team Number]]&gt;0,MIN(_xlfn.RANK.EQ(InnovationProjectResults[[#This Row],[Innovation Project Score]],InnovationProjectResults[Innovation Project Score],0),NumberOfTeams),NumberOfTeams+1)</f>
        <v>9</v>
      </c>
    </row>
    <row r="102" spans="1:14" ht="30" customHeight="1" x14ac:dyDescent="0.25">
      <c r="A102" s="8">
        <f>_xlfn.XLOOKUP(101,OfficialTeamList[Row],OfficialTeamList[Team Number],"ERROR",0)</f>
        <v>0</v>
      </c>
      <c r="B102" s="20" t="str">
        <f>_xlfn.XLOOKUP(InnovationProjectResults[[#This Row],[Team Number]],OfficialTeamList[Team Number],OfficialTeamList[Team Name],"",0,)</f>
        <v/>
      </c>
      <c r="C102" s="22"/>
      <c r="D102" s="22"/>
      <c r="E102" s="22"/>
      <c r="F102" s="22"/>
      <c r="G102" s="22"/>
      <c r="H102" s="22"/>
      <c r="I102" s="22"/>
      <c r="J102" s="22"/>
      <c r="K102" s="22"/>
      <c r="L102" s="22"/>
      <c r="M102" s="8">
        <f>SUM(InnovationProjectResults[[#This Row],[Explore 1]:[Communicate 2 (CV)]])</f>
        <v>0</v>
      </c>
      <c r="N102" s="21">
        <f>IF(InnovationProjectResults[[#This Row],[Team Number]]&gt;0,MIN(_xlfn.RANK.EQ(InnovationProjectResults[[#This Row],[Innovation Project Score]],InnovationProjectResults[Innovation Project Score],0),NumberOfTeams),NumberOfTeams+1)</f>
        <v>9</v>
      </c>
    </row>
    <row r="103" spans="1:14" ht="30" customHeight="1" x14ac:dyDescent="0.25">
      <c r="A103" s="8">
        <f>_xlfn.XLOOKUP(102,OfficialTeamList[Row],OfficialTeamList[Team Number],"ERROR",0)</f>
        <v>0</v>
      </c>
      <c r="B103" s="20" t="str">
        <f>_xlfn.XLOOKUP(InnovationProjectResults[[#This Row],[Team Number]],OfficialTeamList[Team Number],OfficialTeamList[Team Name],"",0,)</f>
        <v/>
      </c>
      <c r="C103" s="22"/>
      <c r="D103" s="22"/>
      <c r="E103" s="22"/>
      <c r="F103" s="22"/>
      <c r="G103" s="22"/>
      <c r="H103" s="22"/>
      <c r="I103" s="22"/>
      <c r="J103" s="22"/>
      <c r="K103" s="22"/>
      <c r="L103" s="22"/>
      <c r="M103" s="8">
        <f>SUM(InnovationProjectResults[[#This Row],[Explore 1]:[Communicate 2 (CV)]])</f>
        <v>0</v>
      </c>
      <c r="N103" s="21">
        <f>IF(InnovationProjectResults[[#This Row],[Team Number]]&gt;0,MIN(_xlfn.RANK.EQ(InnovationProjectResults[[#This Row],[Innovation Project Score]],InnovationProjectResults[Innovation Project Score],0),NumberOfTeams),NumberOfTeams+1)</f>
        <v>9</v>
      </c>
    </row>
    <row r="104" spans="1:14" ht="30" customHeight="1" x14ac:dyDescent="0.25">
      <c r="A104" s="8">
        <f>_xlfn.XLOOKUP(103,OfficialTeamList[Row],OfficialTeamList[Team Number],"ERROR",0)</f>
        <v>0</v>
      </c>
      <c r="B104" s="20" t="str">
        <f>_xlfn.XLOOKUP(InnovationProjectResults[[#This Row],[Team Number]],OfficialTeamList[Team Number],OfficialTeamList[Team Name],"",0,)</f>
        <v/>
      </c>
      <c r="C104" s="22"/>
      <c r="D104" s="22"/>
      <c r="E104" s="22"/>
      <c r="F104" s="22"/>
      <c r="G104" s="22"/>
      <c r="H104" s="22"/>
      <c r="I104" s="22"/>
      <c r="J104" s="22"/>
      <c r="K104" s="22"/>
      <c r="L104" s="22"/>
      <c r="M104" s="8">
        <f>SUM(InnovationProjectResults[[#This Row],[Explore 1]:[Communicate 2 (CV)]])</f>
        <v>0</v>
      </c>
      <c r="N104" s="21">
        <f>IF(InnovationProjectResults[[#This Row],[Team Number]]&gt;0,MIN(_xlfn.RANK.EQ(InnovationProjectResults[[#This Row],[Innovation Project Score]],InnovationProjectResults[Innovation Project Score],0),NumberOfTeams),NumberOfTeams+1)</f>
        <v>9</v>
      </c>
    </row>
    <row r="105" spans="1:14" ht="30" customHeight="1" x14ac:dyDescent="0.25">
      <c r="A105" s="8">
        <f>_xlfn.XLOOKUP(104,OfficialTeamList[Row],OfficialTeamList[Team Number],"ERROR",0)</f>
        <v>0</v>
      </c>
      <c r="B105" s="20" t="str">
        <f>_xlfn.XLOOKUP(InnovationProjectResults[[#This Row],[Team Number]],OfficialTeamList[Team Number],OfficialTeamList[Team Name],"",0,)</f>
        <v/>
      </c>
      <c r="C105" s="22"/>
      <c r="D105" s="22"/>
      <c r="E105" s="22"/>
      <c r="F105" s="22"/>
      <c r="G105" s="22"/>
      <c r="H105" s="22"/>
      <c r="I105" s="22"/>
      <c r="J105" s="22"/>
      <c r="K105" s="22"/>
      <c r="L105" s="22"/>
      <c r="M105" s="8">
        <f>SUM(InnovationProjectResults[[#This Row],[Explore 1]:[Communicate 2 (CV)]])</f>
        <v>0</v>
      </c>
      <c r="N105" s="21">
        <f>IF(InnovationProjectResults[[#This Row],[Team Number]]&gt;0,MIN(_xlfn.RANK.EQ(InnovationProjectResults[[#This Row],[Innovation Project Score]],InnovationProjectResults[Innovation Project Score],0),NumberOfTeams),NumberOfTeams+1)</f>
        <v>9</v>
      </c>
    </row>
    <row r="106" spans="1:14" ht="30" customHeight="1" x14ac:dyDescent="0.25">
      <c r="A106" s="8">
        <f>_xlfn.XLOOKUP(105,OfficialTeamList[Row],OfficialTeamList[Team Number],"ERROR",0)</f>
        <v>0</v>
      </c>
      <c r="B106" s="20" t="str">
        <f>_xlfn.XLOOKUP(InnovationProjectResults[[#This Row],[Team Number]],OfficialTeamList[Team Number],OfficialTeamList[Team Name],"",0,)</f>
        <v/>
      </c>
      <c r="C106" s="22"/>
      <c r="D106" s="22"/>
      <c r="E106" s="22"/>
      <c r="F106" s="22"/>
      <c r="G106" s="22"/>
      <c r="H106" s="22"/>
      <c r="I106" s="22"/>
      <c r="J106" s="22"/>
      <c r="K106" s="22"/>
      <c r="L106" s="22"/>
      <c r="M106" s="8">
        <f>SUM(InnovationProjectResults[[#This Row],[Explore 1]:[Communicate 2 (CV)]])</f>
        <v>0</v>
      </c>
      <c r="N106" s="21">
        <f>IF(InnovationProjectResults[[#This Row],[Team Number]]&gt;0,MIN(_xlfn.RANK.EQ(InnovationProjectResults[[#This Row],[Innovation Project Score]],InnovationProjectResults[Innovation Project Score],0),NumberOfTeams),NumberOfTeams+1)</f>
        <v>9</v>
      </c>
    </row>
    <row r="107" spans="1:14" ht="30" customHeight="1" x14ac:dyDescent="0.25">
      <c r="A107" s="8">
        <f>_xlfn.XLOOKUP(106,OfficialTeamList[Row],OfficialTeamList[Team Number],"ERROR",0)</f>
        <v>0</v>
      </c>
      <c r="B107" s="20" t="str">
        <f>_xlfn.XLOOKUP(InnovationProjectResults[[#This Row],[Team Number]],OfficialTeamList[Team Number],OfficialTeamList[Team Name],"",0,)</f>
        <v/>
      </c>
      <c r="C107" s="22"/>
      <c r="D107" s="22"/>
      <c r="E107" s="22"/>
      <c r="F107" s="22"/>
      <c r="G107" s="22"/>
      <c r="H107" s="22"/>
      <c r="I107" s="22"/>
      <c r="J107" s="22"/>
      <c r="K107" s="22"/>
      <c r="L107" s="22"/>
      <c r="M107" s="8">
        <f>SUM(InnovationProjectResults[[#This Row],[Explore 1]:[Communicate 2 (CV)]])</f>
        <v>0</v>
      </c>
      <c r="N107" s="21">
        <f>IF(InnovationProjectResults[[#This Row],[Team Number]]&gt;0,MIN(_xlfn.RANK.EQ(InnovationProjectResults[[#This Row],[Innovation Project Score]],InnovationProjectResults[Innovation Project Score],0),NumberOfTeams),NumberOfTeams+1)</f>
        <v>9</v>
      </c>
    </row>
    <row r="108" spans="1:14" ht="30" customHeight="1" x14ac:dyDescent="0.25">
      <c r="A108" s="8">
        <f>_xlfn.XLOOKUP(107,OfficialTeamList[Row],OfficialTeamList[Team Number],"ERROR",0)</f>
        <v>0</v>
      </c>
      <c r="B108" s="20" t="str">
        <f>_xlfn.XLOOKUP(InnovationProjectResults[[#This Row],[Team Number]],OfficialTeamList[Team Number],OfficialTeamList[Team Name],"",0,)</f>
        <v/>
      </c>
      <c r="C108" s="22"/>
      <c r="D108" s="22"/>
      <c r="E108" s="22"/>
      <c r="F108" s="22"/>
      <c r="G108" s="22"/>
      <c r="H108" s="22"/>
      <c r="I108" s="22"/>
      <c r="J108" s="22"/>
      <c r="K108" s="22"/>
      <c r="L108" s="22"/>
      <c r="M108" s="8">
        <f>SUM(InnovationProjectResults[[#This Row],[Explore 1]:[Communicate 2 (CV)]])</f>
        <v>0</v>
      </c>
      <c r="N108" s="21">
        <f>IF(InnovationProjectResults[[#This Row],[Team Number]]&gt;0,MIN(_xlfn.RANK.EQ(InnovationProjectResults[[#This Row],[Innovation Project Score]],InnovationProjectResults[Innovation Project Score],0),NumberOfTeams),NumberOfTeams+1)</f>
        <v>9</v>
      </c>
    </row>
    <row r="109" spans="1:14" ht="30" customHeight="1" x14ac:dyDescent="0.25">
      <c r="A109" s="8">
        <f>_xlfn.XLOOKUP(108,OfficialTeamList[Row],OfficialTeamList[Team Number],"ERROR",0)</f>
        <v>0</v>
      </c>
      <c r="B109" s="20" t="str">
        <f>_xlfn.XLOOKUP(InnovationProjectResults[[#This Row],[Team Number]],OfficialTeamList[Team Number],OfficialTeamList[Team Name],"",0,)</f>
        <v/>
      </c>
      <c r="C109" s="22"/>
      <c r="D109" s="22"/>
      <c r="E109" s="22"/>
      <c r="F109" s="22"/>
      <c r="G109" s="22"/>
      <c r="H109" s="22"/>
      <c r="I109" s="22"/>
      <c r="J109" s="22"/>
      <c r="K109" s="22"/>
      <c r="L109" s="22"/>
      <c r="M109" s="8">
        <f>SUM(InnovationProjectResults[[#This Row],[Explore 1]:[Communicate 2 (CV)]])</f>
        <v>0</v>
      </c>
      <c r="N109" s="21">
        <f>IF(InnovationProjectResults[[#This Row],[Team Number]]&gt;0,MIN(_xlfn.RANK.EQ(InnovationProjectResults[[#This Row],[Innovation Project Score]],InnovationProjectResults[Innovation Project Score],0),NumberOfTeams),NumberOfTeams+1)</f>
        <v>9</v>
      </c>
    </row>
    <row r="110" spans="1:14" ht="30" customHeight="1" x14ac:dyDescent="0.25">
      <c r="A110" s="8">
        <f>_xlfn.XLOOKUP(109,OfficialTeamList[Row],OfficialTeamList[Team Number],"ERROR",0)</f>
        <v>0</v>
      </c>
      <c r="B110" s="20" t="str">
        <f>_xlfn.XLOOKUP(InnovationProjectResults[[#This Row],[Team Number]],OfficialTeamList[Team Number],OfficialTeamList[Team Name],"",0,)</f>
        <v/>
      </c>
      <c r="C110" s="22"/>
      <c r="D110" s="22"/>
      <c r="E110" s="22"/>
      <c r="F110" s="22"/>
      <c r="G110" s="22"/>
      <c r="H110" s="22"/>
      <c r="I110" s="22"/>
      <c r="J110" s="22"/>
      <c r="K110" s="22"/>
      <c r="L110" s="22"/>
      <c r="M110" s="8">
        <f>SUM(InnovationProjectResults[[#This Row],[Explore 1]:[Communicate 2 (CV)]])</f>
        <v>0</v>
      </c>
      <c r="N110" s="21">
        <f>IF(InnovationProjectResults[[#This Row],[Team Number]]&gt;0,MIN(_xlfn.RANK.EQ(InnovationProjectResults[[#This Row],[Innovation Project Score]],InnovationProjectResults[Innovation Project Score],0),NumberOfTeams),NumberOfTeams+1)</f>
        <v>9</v>
      </c>
    </row>
    <row r="111" spans="1:14" ht="30" customHeight="1" x14ac:dyDescent="0.25">
      <c r="A111" s="8">
        <f>_xlfn.XLOOKUP(110,OfficialTeamList[Row],OfficialTeamList[Team Number],"ERROR",0)</f>
        <v>0</v>
      </c>
      <c r="B111" s="20" t="str">
        <f>_xlfn.XLOOKUP(InnovationProjectResults[[#This Row],[Team Number]],OfficialTeamList[Team Number],OfficialTeamList[Team Name],"",0,)</f>
        <v/>
      </c>
      <c r="C111" s="22"/>
      <c r="D111" s="22"/>
      <c r="E111" s="22"/>
      <c r="F111" s="22"/>
      <c r="G111" s="22"/>
      <c r="H111" s="22"/>
      <c r="I111" s="22"/>
      <c r="J111" s="22"/>
      <c r="K111" s="22"/>
      <c r="L111" s="22"/>
      <c r="M111" s="8">
        <f>SUM(InnovationProjectResults[[#This Row],[Explore 1]:[Communicate 2 (CV)]])</f>
        <v>0</v>
      </c>
      <c r="N111" s="21">
        <f>IF(InnovationProjectResults[[#This Row],[Team Number]]&gt;0,MIN(_xlfn.RANK.EQ(InnovationProjectResults[[#This Row],[Innovation Project Score]],InnovationProjectResults[Innovation Project Score],0),NumberOfTeams),NumberOfTeams+1)</f>
        <v>9</v>
      </c>
    </row>
    <row r="112" spans="1:14" ht="30" customHeight="1" x14ac:dyDescent="0.25">
      <c r="A112" s="8">
        <f>_xlfn.XLOOKUP(111,OfficialTeamList[Row],OfficialTeamList[Team Number],"ERROR",0)</f>
        <v>0</v>
      </c>
      <c r="B112" s="20" t="str">
        <f>_xlfn.XLOOKUP(InnovationProjectResults[[#This Row],[Team Number]],OfficialTeamList[Team Number],OfficialTeamList[Team Name],"",0,)</f>
        <v/>
      </c>
      <c r="C112" s="22"/>
      <c r="D112" s="22"/>
      <c r="E112" s="22"/>
      <c r="F112" s="22"/>
      <c r="G112" s="22"/>
      <c r="H112" s="22"/>
      <c r="I112" s="22"/>
      <c r="J112" s="22"/>
      <c r="K112" s="22"/>
      <c r="L112" s="22"/>
      <c r="M112" s="8">
        <f>SUM(InnovationProjectResults[[#This Row],[Explore 1]:[Communicate 2 (CV)]])</f>
        <v>0</v>
      </c>
      <c r="N112" s="21">
        <f>IF(InnovationProjectResults[[#This Row],[Team Number]]&gt;0,MIN(_xlfn.RANK.EQ(InnovationProjectResults[[#This Row],[Innovation Project Score]],InnovationProjectResults[Innovation Project Score],0),NumberOfTeams),NumberOfTeams+1)</f>
        <v>9</v>
      </c>
    </row>
    <row r="113" spans="1:14" ht="30" customHeight="1" x14ac:dyDescent="0.25">
      <c r="A113" s="8">
        <f>_xlfn.XLOOKUP(112,OfficialTeamList[Row],OfficialTeamList[Team Number],"ERROR",0)</f>
        <v>0</v>
      </c>
      <c r="B113" s="20" t="str">
        <f>_xlfn.XLOOKUP(InnovationProjectResults[[#This Row],[Team Number]],OfficialTeamList[Team Number],OfficialTeamList[Team Name],"",0,)</f>
        <v/>
      </c>
      <c r="C113" s="22"/>
      <c r="D113" s="22"/>
      <c r="E113" s="22"/>
      <c r="F113" s="22"/>
      <c r="G113" s="22"/>
      <c r="H113" s="22"/>
      <c r="I113" s="22"/>
      <c r="J113" s="22"/>
      <c r="K113" s="22"/>
      <c r="L113" s="22"/>
      <c r="M113" s="8">
        <f>SUM(InnovationProjectResults[[#This Row],[Explore 1]:[Communicate 2 (CV)]])</f>
        <v>0</v>
      </c>
      <c r="N113" s="21">
        <f>IF(InnovationProjectResults[[#This Row],[Team Number]]&gt;0,MIN(_xlfn.RANK.EQ(InnovationProjectResults[[#This Row],[Innovation Project Score]],InnovationProjectResults[Innovation Project Score],0),NumberOfTeams),NumberOfTeams+1)</f>
        <v>9</v>
      </c>
    </row>
    <row r="114" spans="1:14" ht="30" customHeight="1" x14ac:dyDescent="0.25">
      <c r="A114" s="8">
        <f>_xlfn.XLOOKUP(113,OfficialTeamList[Row],OfficialTeamList[Team Number],"ERROR",0)</f>
        <v>0</v>
      </c>
      <c r="B114" s="20" t="str">
        <f>_xlfn.XLOOKUP(InnovationProjectResults[[#This Row],[Team Number]],OfficialTeamList[Team Number],OfficialTeamList[Team Name],"",0,)</f>
        <v/>
      </c>
      <c r="C114" s="22"/>
      <c r="D114" s="22"/>
      <c r="E114" s="22"/>
      <c r="F114" s="22"/>
      <c r="G114" s="22"/>
      <c r="H114" s="22"/>
      <c r="I114" s="22"/>
      <c r="J114" s="22"/>
      <c r="K114" s="22"/>
      <c r="L114" s="22"/>
      <c r="M114" s="8">
        <f>SUM(InnovationProjectResults[[#This Row],[Explore 1]:[Communicate 2 (CV)]])</f>
        <v>0</v>
      </c>
      <c r="N114" s="21">
        <f>IF(InnovationProjectResults[[#This Row],[Team Number]]&gt;0,MIN(_xlfn.RANK.EQ(InnovationProjectResults[[#This Row],[Innovation Project Score]],InnovationProjectResults[Innovation Project Score],0),NumberOfTeams),NumberOfTeams+1)</f>
        <v>9</v>
      </c>
    </row>
    <row r="115" spans="1:14" ht="30" customHeight="1" x14ac:dyDescent="0.25">
      <c r="A115" s="8">
        <f>_xlfn.XLOOKUP(114,OfficialTeamList[Row],OfficialTeamList[Team Number],"ERROR",0)</f>
        <v>0</v>
      </c>
      <c r="B115" s="20" t="str">
        <f>_xlfn.XLOOKUP(InnovationProjectResults[[#This Row],[Team Number]],OfficialTeamList[Team Number],OfficialTeamList[Team Name],"",0,)</f>
        <v/>
      </c>
      <c r="C115" s="22"/>
      <c r="D115" s="22"/>
      <c r="E115" s="22"/>
      <c r="F115" s="22"/>
      <c r="G115" s="22"/>
      <c r="H115" s="22"/>
      <c r="I115" s="22"/>
      <c r="J115" s="22"/>
      <c r="K115" s="22"/>
      <c r="L115" s="22"/>
      <c r="M115" s="8">
        <f>SUM(InnovationProjectResults[[#This Row],[Explore 1]:[Communicate 2 (CV)]])</f>
        <v>0</v>
      </c>
      <c r="N115" s="21">
        <f>IF(InnovationProjectResults[[#This Row],[Team Number]]&gt;0,MIN(_xlfn.RANK.EQ(InnovationProjectResults[[#This Row],[Innovation Project Score]],InnovationProjectResults[Innovation Project Score],0),NumberOfTeams),NumberOfTeams+1)</f>
        <v>9</v>
      </c>
    </row>
    <row r="116" spans="1:14" ht="30" customHeight="1" x14ac:dyDescent="0.25">
      <c r="A116" s="8">
        <f>_xlfn.XLOOKUP(115,OfficialTeamList[Row],OfficialTeamList[Team Number],"ERROR",0)</f>
        <v>0</v>
      </c>
      <c r="B116" s="20" t="str">
        <f>_xlfn.XLOOKUP(InnovationProjectResults[[#This Row],[Team Number]],OfficialTeamList[Team Number],OfficialTeamList[Team Name],"",0,)</f>
        <v/>
      </c>
      <c r="C116" s="22"/>
      <c r="D116" s="22"/>
      <c r="E116" s="22"/>
      <c r="F116" s="22"/>
      <c r="G116" s="22"/>
      <c r="H116" s="22"/>
      <c r="I116" s="22"/>
      <c r="J116" s="22"/>
      <c r="K116" s="22"/>
      <c r="L116" s="22"/>
      <c r="M116" s="8">
        <f>SUM(InnovationProjectResults[[#This Row],[Explore 1]:[Communicate 2 (CV)]])</f>
        <v>0</v>
      </c>
      <c r="N116" s="21">
        <f>IF(InnovationProjectResults[[#This Row],[Team Number]]&gt;0,MIN(_xlfn.RANK.EQ(InnovationProjectResults[[#This Row],[Innovation Project Score]],InnovationProjectResults[Innovation Project Score],0),NumberOfTeams),NumberOfTeams+1)</f>
        <v>9</v>
      </c>
    </row>
    <row r="117" spans="1:14" ht="30" customHeight="1" x14ac:dyDescent="0.25">
      <c r="A117" s="8">
        <f>_xlfn.XLOOKUP(116,OfficialTeamList[Row],OfficialTeamList[Team Number],"ERROR",0)</f>
        <v>0</v>
      </c>
      <c r="B117" s="20" t="str">
        <f>_xlfn.XLOOKUP(InnovationProjectResults[[#This Row],[Team Number]],OfficialTeamList[Team Number],OfficialTeamList[Team Name],"",0,)</f>
        <v/>
      </c>
      <c r="C117" s="22"/>
      <c r="D117" s="22"/>
      <c r="E117" s="22"/>
      <c r="F117" s="22"/>
      <c r="G117" s="22"/>
      <c r="H117" s="22"/>
      <c r="I117" s="22"/>
      <c r="J117" s="22"/>
      <c r="K117" s="22"/>
      <c r="L117" s="22"/>
      <c r="M117" s="8">
        <f>SUM(InnovationProjectResults[[#This Row],[Explore 1]:[Communicate 2 (CV)]])</f>
        <v>0</v>
      </c>
      <c r="N117" s="21">
        <f>IF(InnovationProjectResults[[#This Row],[Team Number]]&gt;0,MIN(_xlfn.RANK.EQ(InnovationProjectResults[[#This Row],[Innovation Project Score]],InnovationProjectResults[Innovation Project Score],0),NumberOfTeams),NumberOfTeams+1)</f>
        <v>9</v>
      </c>
    </row>
    <row r="118" spans="1:14" ht="30" customHeight="1" x14ac:dyDescent="0.25">
      <c r="A118" s="8">
        <f>_xlfn.XLOOKUP(117,OfficialTeamList[Row],OfficialTeamList[Team Number],"ERROR",0)</f>
        <v>0</v>
      </c>
      <c r="B118" s="20" t="str">
        <f>_xlfn.XLOOKUP(InnovationProjectResults[[#This Row],[Team Number]],OfficialTeamList[Team Number],OfficialTeamList[Team Name],"",0,)</f>
        <v/>
      </c>
      <c r="C118" s="22"/>
      <c r="D118" s="22"/>
      <c r="E118" s="22"/>
      <c r="F118" s="22"/>
      <c r="G118" s="22"/>
      <c r="H118" s="22"/>
      <c r="I118" s="22"/>
      <c r="J118" s="22"/>
      <c r="K118" s="22"/>
      <c r="L118" s="22"/>
      <c r="M118" s="8">
        <f>SUM(InnovationProjectResults[[#This Row],[Explore 1]:[Communicate 2 (CV)]])</f>
        <v>0</v>
      </c>
      <c r="N118" s="21">
        <f>IF(InnovationProjectResults[[#This Row],[Team Number]]&gt;0,MIN(_xlfn.RANK.EQ(InnovationProjectResults[[#This Row],[Innovation Project Score]],InnovationProjectResults[Innovation Project Score],0),NumberOfTeams),NumberOfTeams+1)</f>
        <v>9</v>
      </c>
    </row>
    <row r="119" spans="1:14" ht="30" customHeight="1" x14ac:dyDescent="0.25">
      <c r="A119" s="8">
        <f>_xlfn.XLOOKUP(118,OfficialTeamList[Row],OfficialTeamList[Team Number],"ERROR",0)</f>
        <v>0</v>
      </c>
      <c r="B119" s="20" t="str">
        <f>_xlfn.XLOOKUP(InnovationProjectResults[[#This Row],[Team Number]],OfficialTeamList[Team Number],OfficialTeamList[Team Name],"",0,)</f>
        <v/>
      </c>
      <c r="C119" s="22"/>
      <c r="D119" s="22"/>
      <c r="E119" s="22"/>
      <c r="F119" s="22"/>
      <c r="G119" s="22"/>
      <c r="H119" s="22"/>
      <c r="I119" s="22"/>
      <c r="J119" s="22"/>
      <c r="K119" s="22"/>
      <c r="L119" s="22"/>
      <c r="M119" s="8">
        <f>SUM(InnovationProjectResults[[#This Row],[Explore 1]:[Communicate 2 (CV)]])</f>
        <v>0</v>
      </c>
      <c r="N119" s="21">
        <f>IF(InnovationProjectResults[[#This Row],[Team Number]]&gt;0,MIN(_xlfn.RANK.EQ(InnovationProjectResults[[#This Row],[Innovation Project Score]],InnovationProjectResults[Innovation Project Score],0),NumberOfTeams),NumberOfTeams+1)</f>
        <v>9</v>
      </c>
    </row>
    <row r="120" spans="1:14" ht="30" customHeight="1" x14ac:dyDescent="0.25">
      <c r="A120" s="8">
        <f>_xlfn.XLOOKUP(119,OfficialTeamList[Row],OfficialTeamList[Team Number],"ERROR",0)</f>
        <v>0</v>
      </c>
      <c r="B120" s="20" t="str">
        <f>_xlfn.XLOOKUP(InnovationProjectResults[[#This Row],[Team Number]],OfficialTeamList[Team Number],OfficialTeamList[Team Name],"",0,)</f>
        <v/>
      </c>
      <c r="C120" s="22"/>
      <c r="D120" s="22"/>
      <c r="E120" s="22"/>
      <c r="F120" s="22"/>
      <c r="G120" s="22"/>
      <c r="H120" s="22"/>
      <c r="I120" s="22"/>
      <c r="J120" s="22"/>
      <c r="K120" s="22"/>
      <c r="L120" s="22"/>
      <c r="M120" s="8">
        <f>SUM(InnovationProjectResults[[#This Row],[Explore 1]:[Communicate 2 (CV)]])</f>
        <v>0</v>
      </c>
      <c r="N120" s="21">
        <f>IF(InnovationProjectResults[[#This Row],[Team Number]]&gt;0,MIN(_xlfn.RANK.EQ(InnovationProjectResults[[#This Row],[Innovation Project Score]],InnovationProjectResults[Innovation Project Score],0),NumberOfTeams),NumberOfTeams+1)</f>
        <v>9</v>
      </c>
    </row>
    <row r="121" spans="1:14" ht="30" customHeight="1" x14ac:dyDescent="0.25">
      <c r="A121" s="8">
        <f>_xlfn.XLOOKUP(120,OfficialTeamList[Row],OfficialTeamList[Team Number],"ERROR",0)</f>
        <v>0</v>
      </c>
      <c r="B121" s="20" t="str">
        <f>_xlfn.XLOOKUP(InnovationProjectResults[[#This Row],[Team Number]],OfficialTeamList[Team Number],OfficialTeamList[Team Name],"",0,)</f>
        <v/>
      </c>
      <c r="C121" s="22"/>
      <c r="D121" s="22"/>
      <c r="E121" s="22"/>
      <c r="F121" s="22"/>
      <c r="G121" s="22"/>
      <c r="H121" s="22"/>
      <c r="I121" s="22"/>
      <c r="J121" s="22"/>
      <c r="K121" s="22"/>
      <c r="L121" s="22"/>
      <c r="M121" s="8">
        <f>SUM(InnovationProjectResults[[#This Row],[Explore 1]:[Communicate 2 (CV)]])</f>
        <v>0</v>
      </c>
      <c r="N121" s="21">
        <f>IF(InnovationProjectResults[[#This Row],[Team Number]]&gt;0,MIN(_xlfn.RANK.EQ(InnovationProjectResults[[#This Row],[Innovation Project Score]],InnovationProjectResults[Innovation Project Score],0),NumberOfTeams),NumberOfTeams+1)</f>
        <v>9</v>
      </c>
    </row>
    <row r="122" spans="1:14" ht="30" customHeight="1" x14ac:dyDescent="0.25">
      <c r="A122" s="8">
        <f>_xlfn.XLOOKUP(121,OfficialTeamList[Row],OfficialTeamList[Team Number],"ERROR",0)</f>
        <v>0</v>
      </c>
      <c r="B122" s="20" t="str">
        <f>_xlfn.XLOOKUP(InnovationProjectResults[[#This Row],[Team Number]],OfficialTeamList[Team Number],OfficialTeamList[Team Name],"",0,)</f>
        <v/>
      </c>
      <c r="C122" s="22"/>
      <c r="D122" s="22"/>
      <c r="E122" s="22"/>
      <c r="F122" s="22"/>
      <c r="G122" s="22"/>
      <c r="H122" s="22"/>
      <c r="I122" s="22"/>
      <c r="J122" s="22"/>
      <c r="K122" s="22"/>
      <c r="L122" s="22"/>
      <c r="M122" s="8">
        <f>SUM(InnovationProjectResults[[#This Row],[Explore 1]:[Communicate 2 (CV)]])</f>
        <v>0</v>
      </c>
      <c r="N122" s="21">
        <f>IF(InnovationProjectResults[[#This Row],[Team Number]]&gt;0,MIN(_xlfn.RANK.EQ(InnovationProjectResults[[#This Row],[Innovation Project Score]],InnovationProjectResults[Innovation Project Score],0),NumberOfTeams),NumberOfTeams+1)</f>
        <v>9</v>
      </c>
    </row>
    <row r="123" spans="1:14" ht="30" customHeight="1" x14ac:dyDescent="0.25">
      <c r="A123" s="8">
        <f>_xlfn.XLOOKUP(122,OfficialTeamList[Row],OfficialTeamList[Team Number],"ERROR",0)</f>
        <v>0</v>
      </c>
      <c r="B123" s="20" t="str">
        <f>_xlfn.XLOOKUP(InnovationProjectResults[[#This Row],[Team Number]],OfficialTeamList[Team Number],OfficialTeamList[Team Name],"",0,)</f>
        <v/>
      </c>
      <c r="C123" s="22"/>
      <c r="D123" s="22"/>
      <c r="E123" s="22"/>
      <c r="F123" s="22"/>
      <c r="G123" s="22"/>
      <c r="H123" s="22"/>
      <c r="I123" s="22"/>
      <c r="J123" s="22"/>
      <c r="K123" s="22"/>
      <c r="L123" s="22"/>
      <c r="M123" s="8">
        <f>SUM(InnovationProjectResults[[#This Row],[Explore 1]:[Communicate 2 (CV)]])</f>
        <v>0</v>
      </c>
      <c r="N123" s="21">
        <f>IF(InnovationProjectResults[[#This Row],[Team Number]]&gt;0,MIN(_xlfn.RANK.EQ(InnovationProjectResults[[#This Row],[Innovation Project Score]],InnovationProjectResults[Innovation Project Score],0),NumberOfTeams),NumberOfTeams+1)</f>
        <v>9</v>
      </c>
    </row>
    <row r="124" spans="1:14" ht="30" customHeight="1" x14ac:dyDescent="0.25">
      <c r="A124" s="8">
        <f>_xlfn.XLOOKUP(123,OfficialTeamList[Row],OfficialTeamList[Team Number],"ERROR",0)</f>
        <v>0</v>
      </c>
      <c r="B124" s="20" t="str">
        <f>_xlfn.XLOOKUP(InnovationProjectResults[[#This Row],[Team Number]],OfficialTeamList[Team Number],OfficialTeamList[Team Name],"",0,)</f>
        <v/>
      </c>
      <c r="C124" s="22"/>
      <c r="D124" s="22"/>
      <c r="E124" s="22"/>
      <c r="F124" s="22"/>
      <c r="G124" s="22"/>
      <c r="H124" s="22"/>
      <c r="I124" s="22"/>
      <c r="J124" s="22"/>
      <c r="K124" s="22"/>
      <c r="L124" s="22"/>
      <c r="M124" s="8">
        <f>SUM(InnovationProjectResults[[#This Row],[Explore 1]:[Communicate 2 (CV)]])</f>
        <v>0</v>
      </c>
      <c r="N124" s="21">
        <f>IF(InnovationProjectResults[[#This Row],[Team Number]]&gt;0,MIN(_xlfn.RANK.EQ(InnovationProjectResults[[#This Row],[Innovation Project Score]],InnovationProjectResults[Innovation Project Score],0),NumberOfTeams),NumberOfTeams+1)</f>
        <v>9</v>
      </c>
    </row>
    <row r="125" spans="1:14" ht="30" customHeight="1" x14ac:dyDescent="0.25">
      <c r="A125" s="8">
        <f>_xlfn.XLOOKUP(124,OfficialTeamList[Row],OfficialTeamList[Team Number],"ERROR",0)</f>
        <v>0</v>
      </c>
      <c r="B125" s="20" t="str">
        <f>_xlfn.XLOOKUP(InnovationProjectResults[[#This Row],[Team Number]],OfficialTeamList[Team Number],OfficialTeamList[Team Name],"",0,)</f>
        <v/>
      </c>
      <c r="C125" s="22"/>
      <c r="D125" s="22"/>
      <c r="E125" s="22"/>
      <c r="F125" s="22"/>
      <c r="G125" s="22"/>
      <c r="H125" s="22"/>
      <c r="I125" s="22"/>
      <c r="J125" s="22"/>
      <c r="K125" s="22"/>
      <c r="L125" s="22"/>
      <c r="M125" s="8">
        <f>SUM(InnovationProjectResults[[#This Row],[Explore 1]:[Communicate 2 (CV)]])</f>
        <v>0</v>
      </c>
      <c r="N125" s="21">
        <f>IF(InnovationProjectResults[[#This Row],[Team Number]]&gt;0,MIN(_xlfn.RANK.EQ(InnovationProjectResults[[#This Row],[Innovation Project Score]],InnovationProjectResults[Innovation Project Score],0),NumberOfTeams),NumberOfTeams+1)</f>
        <v>9</v>
      </c>
    </row>
    <row r="126" spans="1:14" ht="30" customHeight="1" x14ac:dyDescent="0.25">
      <c r="A126" s="8">
        <f>_xlfn.XLOOKUP(125,OfficialTeamList[Row],OfficialTeamList[Team Number],"ERROR",0)</f>
        <v>0</v>
      </c>
      <c r="B126" s="20" t="str">
        <f>_xlfn.XLOOKUP(InnovationProjectResults[[#This Row],[Team Number]],OfficialTeamList[Team Number],OfficialTeamList[Team Name],"",0,)</f>
        <v/>
      </c>
      <c r="C126" s="22"/>
      <c r="D126" s="22"/>
      <c r="E126" s="22"/>
      <c r="F126" s="22"/>
      <c r="G126" s="22"/>
      <c r="H126" s="22"/>
      <c r="I126" s="22"/>
      <c r="J126" s="22"/>
      <c r="K126" s="22"/>
      <c r="L126" s="22"/>
      <c r="M126" s="8">
        <f>SUM(InnovationProjectResults[[#This Row],[Explore 1]:[Communicate 2 (CV)]])</f>
        <v>0</v>
      </c>
      <c r="N126" s="21">
        <f>IF(InnovationProjectResults[[#This Row],[Team Number]]&gt;0,MIN(_xlfn.RANK.EQ(InnovationProjectResults[[#This Row],[Innovation Project Score]],InnovationProjectResults[Innovation Project Score],0),NumberOfTeams),NumberOfTeams+1)</f>
        <v>9</v>
      </c>
    </row>
    <row r="127" spans="1:14" ht="30" customHeight="1" x14ac:dyDescent="0.25">
      <c r="A127" s="8">
        <f>_xlfn.XLOOKUP(126,OfficialTeamList[Row],OfficialTeamList[Team Number],"ERROR",0)</f>
        <v>0</v>
      </c>
      <c r="B127" s="20" t="str">
        <f>_xlfn.XLOOKUP(InnovationProjectResults[[#This Row],[Team Number]],OfficialTeamList[Team Number],OfficialTeamList[Team Name],"",0,)</f>
        <v/>
      </c>
      <c r="C127" s="22"/>
      <c r="D127" s="22"/>
      <c r="E127" s="22"/>
      <c r="F127" s="22"/>
      <c r="G127" s="22"/>
      <c r="H127" s="22"/>
      <c r="I127" s="22"/>
      <c r="J127" s="22"/>
      <c r="K127" s="22"/>
      <c r="L127" s="22"/>
      <c r="M127" s="8">
        <f>SUM(InnovationProjectResults[[#This Row],[Explore 1]:[Communicate 2 (CV)]])</f>
        <v>0</v>
      </c>
      <c r="N127" s="21">
        <f>IF(InnovationProjectResults[[#This Row],[Team Number]]&gt;0,MIN(_xlfn.RANK.EQ(InnovationProjectResults[[#This Row],[Innovation Project Score]],InnovationProjectResults[Innovation Project Score],0),NumberOfTeams),NumberOfTeams+1)</f>
        <v>9</v>
      </c>
    </row>
    <row r="128" spans="1:14" ht="30" customHeight="1" x14ac:dyDescent="0.25">
      <c r="A128" s="8">
        <f>_xlfn.XLOOKUP(127,OfficialTeamList[Row],OfficialTeamList[Team Number],"ERROR",0)</f>
        <v>0</v>
      </c>
      <c r="B128" s="20" t="str">
        <f>_xlfn.XLOOKUP(InnovationProjectResults[[#This Row],[Team Number]],OfficialTeamList[Team Number],OfficialTeamList[Team Name],"",0,)</f>
        <v/>
      </c>
      <c r="C128" s="22"/>
      <c r="D128" s="22"/>
      <c r="E128" s="22"/>
      <c r="F128" s="22"/>
      <c r="G128" s="22"/>
      <c r="H128" s="22"/>
      <c r="I128" s="22"/>
      <c r="J128" s="22"/>
      <c r="K128" s="22"/>
      <c r="L128" s="22"/>
      <c r="M128" s="8">
        <f>SUM(InnovationProjectResults[[#This Row],[Explore 1]:[Communicate 2 (CV)]])</f>
        <v>0</v>
      </c>
      <c r="N128" s="21">
        <f>IF(InnovationProjectResults[[#This Row],[Team Number]]&gt;0,MIN(_xlfn.RANK.EQ(InnovationProjectResults[[#This Row],[Innovation Project Score]],InnovationProjectResults[Innovation Project Score],0),NumberOfTeams),NumberOfTeams+1)</f>
        <v>9</v>
      </c>
    </row>
    <row r="129" spans="1:14" ht="30" customHeight="1" x14ac:dyDescent="0.25">
      <c r="A129" s="8">
        <f>_xlfn.XLOOKUP(128,OfficialTeamList[Row],OfficialTeamList[Team Number],"ERROR",0)</f>
        <v>0</v>
      </c>
      <c r="B129" s="20" t="str">
        <f>_xlfn.XLOOKUP(InnovationProjectResults[[#This Row],[Team Number]],OfficialTeamList[Team Number],OfficialTeamList[Team Name],"",0,)</f>
        <v/>
      </c>
      <c r="C129" s="22"/>
      <c r="D129" s="22"/>
      <c r="E129" s="22"/>
      <c r="F129" s="22"/>
      <c r="G129" s="22"/>
      <c r="H129" s="22"/>
      <c r="I129" s="22"/>
      <c r="J129" s="22"/>
      <c r="K129" s="22"/>
      <c r="L129" s="22"/>
      <c r="M129" s="8">
        <f>SUM(InnovationProjectResults[[#This Row],[Explore 1]:[Communicate 2 (CV)]])</f>
        <v>0</v>
      </c>
      <c r="N129" s="21">
        <f>IF(InnovationProjectResults[[#This Row],[Team Number]]&gt;0,MIN(_xlfn.RANK.EQ(InnovationProjectResults[[#This Row],[Innovation Project Score]],InnovationProjectResults[Innovation Project Score],0),NumberOfTeams),NumberOfTeams+1)</f>
        <v>9</v>
      </c>
    </row>
    <row r="130" spans="1:14" ht="30" customHeight="1" x14ac:dyDescent="0.25">
      <c r="A130" s="8">
        <f>_xlfn.XLOOKUP(129,OfficialTeamList[Row],OfficialTeamList[Team Number],"ERROR",0)</f>
        <v>0</v>
      </c>
      <c r="B130" s="20" t="str">
        <f>_xlfn.XLOOKUP(InnovationProjectResults[[#This Row],[Team Number]],OfficialTeamList[Team Number],OfficialTeamList[Team Name],"",0,)</f>
        <v/>
      </c>
      <c r="C130" s="22"/>
      <c r="D130" s="22"/>
      <c r="E130" s="22"/>
      <c r="F130" s="22"/>
      <c r="G130" s="22"/>
      <c r="H130" s="22"/>
      <c r="I130" s="22"/>
      <c r="J130" s="22"/>
      <c r="K130" s="22"/>
      <c r="L130" s="22"/>
      <c r="M130" s="8">
        <f>SUM(InnovationProjectResults[[#This Row],[Explore 1]:[Communicate 2 (CV)]])</f>
        <v>0</v>
      </c>
      <c r="N130" s="21">
        <f>IF(InnovationProjectResults[[#This Row],[Team Number]]&gt;0,MIN(_xlfn.RANK.EQ(InnovationProjectResults[[#This Row],[Innovation Project Score]],InnovationProjectResults[Innovation Project Score],0),NumberOfTeams),NumberOfTeams+1)</f>
        <v>9</v>
      </c>
    </row>
    <row r="131" spans="1:14" ht="30" customHeight="1" x14ac:dyDescent="0.25">
      <c r="A131" s="8">
        <f>_xlfn.XLOOKUP(130,OfficialTeamList[Row],OfficialTeamList[Team Number],"ERROR",0)</f>
        <v>0</v>
      </c>
      <c r="B131" s="20" t="str">
        <f>_xlfn.XLOOKUP(InnovationProjectResults[[#This Row],[Team Number]],OfficialTeamList[Team Number],OfficialTeamList[Team Name],"",0,)</f>
        <v/>
      </c>
      <c r="C131" s="22"/>
      <c r="D131" s="22"/>
      <c r="E131" s="22"/>
      <c r="F131" s="22"/>
      <c r="G131" s="22"/>
      <c r="H131" s="22"/>
      <c r="I131" s="22"/>
      <c r="J131" s="22"/>
      <c r="K131" s="22"/>
      <c r="L131" s="22"/>
      <c r="M131" s="8">
        <f>SUM(InnovationProjectResults[[#This Row],[Explore 1]:[Communicate 2 (CV)]])</f>
        <v>0</v>
      </c>
      <c r="N131" s="21">
        <f>IF(InnovationProjectResults[[#This Row],[Team Number]]&gt;0,MIN(_xlfn.RANK.EQ(InnovationProjectResults[[#This Row],[Innovation Project Score]],InnovationProjectResults[Innovation Project Score],0),NumberOfTeams),NumberOfTeams+1)</f>
        <v>9</v>
      </c>
    </row>
    <row r="132" spans="1:14" ht="30" customHeight="1" x14ac:dyDescent="0.25">
      <c r="A132" s="8">
        <f>_xlfn.XLOOKUP(131,OfficialTeamList[Row],OfficialTeamList[Team Number],"ERROR",0)</f>
        <v>0</v>
      </c>
      <c r="B132" s="20" t="str">
        <f>_xlfn.XLOOKUP(InnovationProjectResults[[#This Row],[Team Number]],OfficialTeamList[Team Number],OfficialTeamList[Team Name],"",0,)</f>
        <v/>
      </c>
      <c r="C132" s="22"/>
      <c r="D132" s="22"/>
      <c r="E132" s="22"/>
      <c r="F132" s="22"/>
      <c r="G132" s="22"/>
      <c r="H132" s="22"/>
      <c r="I132" s="22"/>
      <c r="J132" s="22"/>
      <c r="K132" s="22"/>
      <c r="L132" s="22"/>
      <c r="M132" s="8">
        <f>SUM(InnovationProjectResults[[#This Row],[Explore 1]:[Communicate 2 (CV)]])</f>
        <v>0</v>
      </c>
      <c r="N132" s="21">
        <f>IF(InnovationProjectResults[[#This Row],[Team Number]]&gt;0,MIN(_xlfn.RANK.EQ(InnovationProjectResults[[#This Row],[Innovation Project Score]],InnovationProjectResults[Innovation Project Score],0),NumberOfTeams),NumberOfTeams+1)</f>
        <v>9</v>
      </c>
    </row>
    <row r="133" spans="1:14" ht="30" customHeight="1" x14ac:dyDescent="0.25">
      <c r="A133" s="8">
        <f>_xlfn.XLOOKUP(132,OfficialTeamList[Row],OfficialTeamList[Team Number],"ERROR",0)</f>
        <v>0</v>
      </c>
      <c r="B133" s="20" t="str">
        <f>_xlfn.XLOOKUP(InnovationProjectResults[[#This Row],[Team Number]],OfficialTeamList[Team Number],OfficialTeamList[Team Name],"",0,)</f>
        <v/>
      </c>
      <c r="C133" s="22"/>
      <c r="D133" s="22"/>
      <c r="E133" s="22"/>
      <c r="F133" s="22"/>
      <c r="G133" s="22"/>
      <c r="H133" s="22"/>
      <c r="I133" s="22"/>
      <c r="J133" s="22"/>
      <c r="K133" s="22"/>
      <c r="L133" s="22"/>
      <c r="M133" s="8">
        <f>SUM(InnovationProjectResults[[#This Row],[Explore 1]:[Communicate 2 (CV)]])</f>
        <v>0</v>
      </c>
      <c r="N133" s="21">
        <f>IF(InnovationProjectResults[[#This Row],[Team Number]]&gt;0,MIN(_xlfn.RANK.EQ(InnovationProjectResults[[#This Row],[Innovation Project Score]],InnovationProjectResults[Innovation Project Score],0),NumberOfTeams),NumberOfTeams+1)</f>
        <v>9</v>
      </c>
    </row>
    <row r="134" spans="1:14" ht="30" customHeight="1" x14ac:dyDescent="0.25">
      <c r="A134" s="8">
        <f>_xlfn.XLOOKUP(133,OfficialTeamList[Row],OfficialTeamList[Team Number],"ERROR",0)</f>
        <v>0</v>
      </c>
      <c r="B134" s="20" t="str">
        <f>_xlfn.XLOOKUP(InnovationProjectResults[[#This Row],[Team Number]],OfficialTeamList[Team Number],OfficialTeamList[Team Name],"",0,)</f>
        <v/>
      </c>
      <c r="C134" s="22"/>
      <c r="D134" s="22"/>
      <c r="E134" s="22"/>
      <c r="F134" s="22"/>
      <c r="G134" s="22"/>
      <c r="H134" s="22"/>
      <c r="I134" s="22"/>
      <c r="J134" s="22"/>
      <c r="K134" s="22"/>
      <c r="L134" s="22"/>
      <c r="M134" s="8">
        <f>SUM(InnovationProjectResults[[#This Row],[Explore 1]:[Communicate 2 (CV)]])</f>
        <v>0</v>
      </c>
      <c r="N134" s="21">
        <f>IF(InnovationProjectResults[[#This Row],[Team Number]]&gt;0,MIN(_xlfn.RANK.EQ(InnovationProjectResults[[#This Row],[Innovation Project Score]],InnovationProjectResults[Innovation Project Score],0),NumberOfTeams),NumberOfTeams+1)</f>
        <v>9</v>
      </c>
    </row>
    <row r="135" spans="1:14" ht="30" customHeight="1" x14ac:dyDescent="0.25">
      <c r="A135" s="8">
        <f>_xlfn.XLOOKUP(134,OfficialTeamList[Row],OfficialTeamList[Team Number],"ERROR",0)</f>
        <v>0</v>
      </c>
      <c r="B135" s="20" t="str">
        <f>_xlfn.XLOOKUP(InnovationProjectResults[[#This Row],[Team Number]],OfficialTeamList[Team Number],OfficialTeamList[Team Name],"",0,)</f>
        <v/>
      </c>
      <c r="C135" s="22"/>
      <c r="D135" s="22"/>
      <c r="E135" s="22"/>
      <c r="F135" s="22"/>
      <c r="G135" s="22"/>
      <c r="H135" s="22"/>
      <c r="I135" s="22"/>
      <c r="J135" s="22"/>
      <c r="K135" s="22"/>
      <c r="L135" s="22"/>
      <c r="M135" s="8">
        <f>SUM(InnovationProjectResults[[#This Row],[Explore 1]:[Communicate 2 (CV)]])</f>
        <v>0</v>
      </c>
      <c r="N135" s="21">
        <f>IF(InnovationProjectResults[[#This Row],[Team Number]]&gt;0,MIN(_xlfn.RANK.EQ(InnovationProjectResults[[#This Row],[Innovation Project Score]],InnovationProjectResults[Innovation Project Score],0),NumberOfTeams),NumberOfTeams+1)</f>
        <v>9</v>
      </c>
    </row>
    <row r="136" spans="1:14" ht="30" customHeight="1" x14ac:dyDescent="0.25">
      <c r="A136" s="8">
        <f>_xlfn.XLOOKUP(135,OfficialTeamList[Row],OfficialTeamList[Team Number],"ERROR",0)</f>
        <v>0</v>
      </c>
      <c r="B136" s="20" t="str">
        <f>_xlfn.XLOOKUP(InnovationProjectResults[[#This Row],[Team Number]],OfficialTeamList[Team Number],OfficialTeamList[Team Name],"",0,)</f>
        <v/>
      </c>
      <c r="C136" s="22"/>
      <c r="D136" s="22"/>
      <c r="E136" s="22"/>
      <c r="F136" s="22"/>
      <c r="G136" s="22"/>
      <c r="H136" s="22"/>
      <c r="I136" s="22"/>
      <c r="J136" s="22"/>
      <c r="K136" s="22"/>
      <c r="L136" s="22"/>
      <c r="M136" s="8">
        <f>SUM(InnovationProjectResults[[#This Row],[Explore 1]:[Communicate 2 (CV)]])</f>
        <v>0</v>
      </c>
      <c r="N136" s="21">
        <f>IF(InnovationProjectResults[[#This Row],[Team Number]]&gt;0,MIN(_xlfn.RANK.EQ(InnovationProjectResults[[#This Row],[Innovation Project Score]],InnovationProjectResults[Innovation Project Score],0),NumberOfTeams),NumberOfTeams+1)</f>
        <v>9</v>
      </c>
    </row>
    <row r="137" spans="1:14" ht="30" customHeight="1" x14ac:dyDescent="0.25">
      <c r="A137" s="8">
        <f>_xlfn.XLOOKUP(136,OfficialTeamList[Row],OfficialTeamList[Team Number],"ERROR",0)</f>
        <v>0</v>
      </c>
      <c r="B137" s="20" t="str">
        <f>_xlfn.XLOOKUP(InnovationProjectResults[[#This Row],[Team Number]],OfficialTeamList[Team Number],OfficialTeamList[Team Name],"",0,)</f>
        <v/>
      </c>
      <c r="C137" s="22"/>
      <c r="D137" s="22"/>
      <c r="E137" s="22"/>
      <c r="F137" s="22"/>
      <c r="G137" s="22"/>
      <c r="H137" s="22"/>
      <c r="I137" s="22"/>
      <c r="J137" s="22"/>
      <c r="K137" s="22"/>
      <c r="L137" s="22"/>
      <c r="M137" s="8">
        <f>SUM(InnovationProjectResults[[#This Row],[Explore 1]:[Communicate 2 (CV)]])</f>
        <v>0</v>
      </c>
      <c r="N137" s="21">
        <f>IF(InnovationProjectResults[[#This Row],[Team Number]]&gt;0,MIN(_xlfn.RANK.EQ(InnovationProjectResults[[#This Row],[Innovation Project Score]],InnovationProjectResults[Innovation Project Score],0),NumberOfTeams),NumberOfTeams+1)</f>
        <v>9</v>
      </c>
    </row>
    <row r="138" spans="1:14" ht="30" customHeight="1" x14ac:dyDescent="0.25">
      <c r="A138" s="8">
        <f>_xlfn.XLOOKUP(137,OfficialTeamList[Row],OfficialTeamList[Team Number],"ERROR",0)</f>
        <v>0</v>
      </c>
      <c r="B138" s="20" t="str">
        <f>_xlfn.XLOOKUP(InnovationProjectResults[[#This Row],[Team Number]],OfficialTeamList[Team Number],OfficialTeamList[Team Name],"",0,)</f>
        <v/>
      </c>
      <c r="C138" s="22"/>
      <c r="D138" s="22"/>
      <c r="E138" s="22"/>
      <c r="F138" s="22"/>
      <c r="G138" s="22"/>
      <c r="H138" s="22"/>
      <c r="I138" s="22"/>
      <c r="J138" s="22"/>
      <c r="K138" s="22"/>
      <c r="L138" s="22"/>
      <c r="M138" s="8">
        <f>SUM(InnovationProjectResults[[#This Row],[Explore 1]:[Communicate 2 (CV)]])</f>
        <v>0</v>
      </c>
      <c r="N138" s="21">
        <f>IF(InnovationProjectResults[[#This Row],[Team Number]]&gt;0,MIN(_xlfn.RANK.EQ(InnovationProjectResults[[#This Row],[Innovation Project Score]],InnovationProjectResults[Innovation Project Score],0),NumberOfTeams),NumberOfTeams+1)</f>
        <v>9</v>
      </c>
    </row>
    <row r="139" spans="1:14" ht="30" customHeight="1" x14ac:dyDescent="0.25">
      <c r="A139" s="8">
        <f>_xlfn.XLOOKUP(138,OfficialTeamList[Row],OfficialTeamList[Team Number],"ERROR",0)</f>
        <v>0</v>
      </c>
      <c r="B139" s="20" t="str">
        <f>_xlfn.XLOOKUP(InnovationProjectResults[[#This Row],[Team Number]],OfficialTeamList[Team Number],OfficialTeamList[Team Name],"",0,)</f>
        <v/>
      </c>
      <c r="C139" s="22"/>
      <c r="D139" s="22"/>
      <c r="E139" s="22"/>
      <c r="F139" s="22"/>
      <c r="G139" s="22"/>
      <c r="H139" s="22"/>
      <c r="I139" s="22"/>
      <c r="J139" s="22"/>
      <c r="K139" s="22"/>
      <c r="L139" s="22"/>
      <c r="M139" s="8">
        <f>SUM(InnovationProjectResults[[#This Row],[Explore 1]:[Communicate 2 (CV)]])</f>
        <v>0</v>
      </c>
      <c r="N139" s="21">
        <f>IF(InnovationProjectResults[[#This Row],[Team Number]]&gt;0,MIN(_xlfn.RANK.EQ(InnovationProjectResults[[#This Row],[Innovation Project Score]],InnovationProjectResults[Innovation Project Score],0),NumberOfTeams),NumberOfTeams+1)</f>
        <v>9</v>
      </c>
    </row>
    <row r="140" spans="1:14" ht="30" customHeight="1" x14ac:dyDescent="0.25">
      <c r="A140" s="8">
        <f>_xlfn.XLOOKUP(139,OfficialTeamList[Row],OfficialTeamList[Team Number],"ERROR",0)</f>
        <v>0</v>
      </c>
      <c r="B140" s="20" t="str">
        <f>_xlfn.XLOOKUP(InnovationProjectResults[[#This Row],[Team Number]],OfficialTeamList[Team Number],OfficialTeamList[Team Name],"",0,)</f>
        <v/>
      </c>
      <c r="C140" s="22"/>
      <c r="D140" s="22"/>
      <c r="E140" s="22"/>
      <c r="F140" s="22"/>
      <c r="G140" s="22"/>
      <c r="H140" s="22"/>
      <c r="I140" s="22"/>
      <c r="J140" s="22"/>
      <c r="K140" s="22"/>
      <c r="L140" s="22"/>
      <c r="M140" s="8">
        <f>SUM(InnovationProjectResults[[#This Row],[Explore 1]:[Communicate 2 (CV)]])</f>
        <v>0</v>
      </c>
      <c r="N140" s="21">
        <f>IF(InnovationProjectResults[[#This Row],[Team Number]]&gt;0,MIN(_xlfn.RANK.EQ(InnovationProjectResults[[#This Row],[Innovation Project Score]],InnovationProjectResults[Innovation Project Score],0),NumberOfTeams),NumberOfTeams+1)</f>
        <v>9</v>
      </c>
    </row>
    <row r="141" spans="1:14" ht="30" customHeight="1" x14ac:dyDescent="0.25">
      <c r="A141" s="8">
        <f>_xlfn.XLOOKUP(140,OfficialTeamList[Row],OfficialTeamList[Team Number],"ERROR",0)</f>
        <v>0</v>
      </c>
      <c r="B141" s="20" t="str">
        <f>_xlfn.XLOOKUP(InnovationProjectResults[[#This Row],[Team Number]],OfficialTeamList[Team Number],OfficialTeamList[Team Name],"",0,)</f>
        <v/>
      </c>
      <c r="C141" s="22"/>
      <c r="D141" s="22"/>
      <c r="E141" s="22"/>
      <c r="F141" s="22"/>
      <c r="G141" s="22"/>
      <c r="H141" s="22"/>
      <c r="I141" s="22"/>
      <c r="J141" s="22"/>
      <c r="K141" s="22"/>
      <c r="L141" s="22"/>
      <c r="M141" s="8">
        <f>SUM(InnovationProjectResults[[#This Row],[Explore 1]:[Communicate 2 (CV)]])</f>
        <v>0</v>
      </c>
      <c r="N141" s="21">
        <f>IF(InnovationProjectResults[[#This Row],[Team Number]]&gt;0,MIN(_xlfn.RANK.EQ(InnovationProjectResults[[#This Row],[Innovation Project Score]],InnovationProjectResults[Innovation Project Score],0),NumberOfTeams),NumberOfTeams+1)</f>
        <v>9</v>
      </c>
    </row>
    <row r="142" spans="1:14" ht="30" customHeight="1" x14ac:dyDescent="0.25">
      <c r="A142" s="8">
        <f>_xlfn.XLOOKUP(141,OfficialTeamList[Row],OfficialTeamList[Team Number],"ERROR",0)</f>
        <v>0</v>
      </c>
      <c r="B142" s="20" t="str">
        <f>_xlfn.XLOOKUP(InnovationProjectResults[[#This Row],[Team Number]],OfficialTeamList[Team Number],OfficialTeamList[Team Name],"",0,)</f>
        <v/>
      </c>
      <c r="C142" s="22"/>
      <c r="D142" s="22"/>
      <c r="E142" s="22"/>
      <c r="F142" s="22"/>
      <c r="G142" s="22"/>
      <c r="H142" s="22"/>
      <c r="I142" s="22"/>
      <c r="J142" s="22"/>
      <c r="K142" s="22"/>
      <c r="L142" s="22"/>
      <c r="M142" s="8">
        <f>SUM(InnovationProjectResults[[#This Row],[Explore 1]:[Communicate 2 (CV)]])</f>
        <v>0</v>
      </c>
      <c r="N142" s="21">
        <f>IF(InnovationProjectResults[[#This Row],[Team Number]]&gt;0,MIN(_xlfn.RANK.EQ(InnovationProjectResults[[#This Row],[Innovation Project Score]],InnovationProjectResults[Innovation Project Score],0),NumberOfTeams),NumberOfTeams+1)</f>
        <v>9</v>
      </c>
    </row>
    <row r="143" spans="1:14" ht="30" customHeight="1" x14ac:dyDescent="0.25">
      <c r="A143" s="8">
        <f>_xlfn.XLOOKUP(142,OfficialTeamList[Row],OfficialTeamList[Team Number],"ERROR",0)</f>
        <v>0</v>
      </c>
      <c r="B143" s="20" t="str">
        <f>_xlfn.XLOOKUP(InnovationProjectResults[[#This Row],[Team Number]],OfficialTeamList[Team Number],OfficialTeamList[Team Name],"",0,)</f>
        <v/>
      </c>
      <c r="C143" s="22"/>
      <c r="D143" s="22"/>
      <c r="E143" s="22"/>
      <c r="F143" s="22"/>
      <c r="G143" s="22"/>
      <c r="H143" s="22"/>
      <c r="I143" s="22"/>
      <c r="J143" s="22"/>
      <c r="K143" s="22"/>
      <c r="L143" s="22"/>
      <c r="M143" s="8">
        <f>SUM(InnovationProjectResults[[#This Row],[Explore 1]:[Communicate 2 (CV)]])</f>
        <v>0</v>
      </c>
      <c r="N143" s="21">
        <f>IF(InnovationProjectResults[[#This Row],[Team Number]]&gt;0,MIN(_xlfn.RANK.EQ(InnovationProjectResults[[#This Row],[Innovation Project Score]],InnovationProjectResults[Innovation Project Score],0),NumberOfTeams),NumberOfTeams+1)</f>
        <v>9</v>
      </c>
    </row>
    <row r="144" spans="1:14" ht="30" customHeight="1" x14ac:dyDescent="0.25">
      <c r="A144" s="8">
        <f>_xlfn.XLOOKUP(143,OfficialTeamList[Row],OfficialTeamList[Team Number],"ERROR",0)</f>
        <v>0</v>
      </c>
      <c r="B144" s="20" t="str">
        <f>_xlfn.XLOOKUP(InnovationProjectResults[[#This Row],[Team Number]],OfficialTeamList[Team Number],OfficialTeamList[Team Name],"",0,)</f>
        <v/>
      </c>
      <c r="C144" s="22"/>
      <c r="D144" s="22"/>
      <c r="E144" s="22"/>
      <c r="F144" s="22"/>
      <c r="G144" s="22"/>
      <c r="H144" s="22"/>
      <c r="I144" s="22"/>
      <c r="J144" s="22"/>
      <c r="K144" s="22"/>
      <c r="L144" s="22"/>
      <c r="M144" s="8">
        <f>SUM(InnovationProjectResults[[#This Row],[Explore 1]:[Communicate 2 (CV)]])</f>
        <v>0</v>
      </c>
      <c r="N144" s="21">
        <f>IF(InnovationProjectResults[[#This Row],[Team Number]]&gt;0,MIN(_xlfn.RANK.EQ(InnovationProjectResults[[#This Row],[Innovation Project Score]],InnovationProjectResults[Innovation Project Score],0),NumberOfTeams),NumberOfTeams+1)</f>
        <v>9</v>
      </c>
    </row>
    <row r="145" spans="1:14" ht="30" customHeight="1" x14ac:dyDescent="0.25">
      <c r="A145" s="8">
        <f>_xlfn.XLOOKUP(144,OfficialTeamList[Row],OfficialTeamList[Team Number],"ERROR",0)</f>
        <v>0</v>
      </c>
      <c r="B145" s="20" t="str">
        <f>_xlfn.XLOOKUP(InnovationProjectResults[[#This Row],[Team Number]],OfficialTeamList[Team Number],OfficialTeamList[Team Name],"",0,)</f>
        <v/>
      </c>
      <c r="C145" s="22"/>
      <c r="D145" s="22"/>
      <c r="E145" s="22"/>
      <c r="F145" s="22"/>
      <c r="G145" s="22"/>
      <c r="H145" s="22"/>
      <c r="I145" s="22"/>
      <c r="J145" s="22"/>
      <c r="K145" s="22"/>
      <c r="L145" s="22"/>
      <c r="M145" s="8">
        <f>SUM(InnovationProjectResults[[#This Row],[Explore 1]:[Communicate 2 (CV)]])</f>
        <v>0</v>
      </c>
      <c r="N145" s="21">
        <f>IF(InnovationProjectResults[[#This Row],[Team Number]]&gt;0,MIN(_xlfn.RANK.EQ(InnovationProjectResults[[#This Row],[Innovation Project Score]],InnovationProjectResults[Innovation Project Score],0),NumberOfTeams),NumberOfTeams+1)</f>
        <v>9</v>
      </c>
    </row>
    <row r="146" spans="1:14" ht="30" customHeight="1" x14ac:dyDescent="0.25">
      <c r="A146" s="8">
        <f>_xlfn.XLOOKUP(145,OfficialTeamList[Row],OfficialTeamList[Team Number],"ERROR",0)</f>
        <v>0</v>
      </c>
      <c r="B146" s="20" t="str">
        <f>_xlfn.XLOOKUP(InnovationProjectResults[[#This Row],[Team Number]],OfficialTeamList[Team Number],OfficialTeamList[Team Name],"",0,)</f>
        <v/>
      </c>
      <c r="C146" s="22"/>
      <c r="D146" s="22"/>
      <c r="E146" s="22"/>
      <c r="F146" s="22"/>
      <c r="G146" s="22"/>
      <c r="H146" s="22"/>
      <c r="I146" s="22"/>
      <c r="J146" s="22"/>
      <c r="K146" s="22"/>
      <c r="L146" s="22"/>
      <c r="M146" s="8">
        <f>SUM(InnovationProjectResults[[#This Row],[Explore 1]:[Communicate 2 (CV)]])</f>
        <v>0</v>
      </c>
      <c r="N146" s="21">
        <f>IF(InnovationProjectResults[[#This Row],[Team Number]]&gt;0,MIN(_xlfn.RANK.EQ(InnovationProjectResults[[#This Row],[Innovation Project Score]],InnovationProjectResults[Innovation Project Score],0),NumberOfTeams),NumberOfTeams+1)</f>
        <v>9</v>
      </c>
    </row>
    <row r="147" spans="1:14" ht="30" customHeight="1" x14ac:dyDescent="0.25">
      <c r="A147" s="8">
        <f>_xlfn.XLOOKUP(146,OfficialTeamList[Row],OfficialTeamList[Team Number],"ERROR",0)</f>
        <v>0</v>
      </c>
      <c r="B147" s="20" t="str">
        <f>_xlfn.XLOOKUP(InnovationProjectResults[[#This Row],[Team Number]],OfficialTeamList[Team Number],OfficialTeamList[Team Name],"",0,)</f>
        <v/>
      </c>
      <c r="C147" s="22"/>
      <c r="D147" s="22"/>
      <c r="E147" s="22"/>
      <c r="F147" s="22"/>
      <c r="G147" s="22"/>
      <c r="H147" s="22"/>
      <c r="I147" s="22"/>
      <c r="J147" s="22"/>
      <c r="K147" s="22"/>
      <c r="L147" s="22"/>
      <c r="M147" s="8">
        <f>SUM(InnovationProjectResults[[#This Row],[Explore 1]:[Communicate 2 (CV)]])</f>
        <v>0</v>
      </c>
      <c r="N147" s="21">
        <f>IF(InnovationProjectResults[[#This Row],[Team Number]]&gt;0,MIN(_xlfn.RANK.EQ(InnovationProjectResults[[#This Row],[Innovation Project Score]],InnovationProjectResults[Innovation Project Score],0),NumberOfTeams),NumberOfTeams+1)</f>
        <v>9</v>
      </c>
    </row>
    <row r="148" spans="1:14" ht="30" customHeight="1" x14ac:dyDescent="0.25">
      <c r="A148" s="8">
        <f>_xlfn.XLOOKUP(147,OfficialTeamList[Row],OfficialTeamList[Team Number],"ERROR",0)</f>
        <v>0</v>
      </c>
      <c r="B148" s="20" t="str">
        <f>_xlfn.XLOOKUP(InnovationProjectResults[[#This Row],[Team Number]],OfficialTeamList[Team Number],OfficialTeamList[Team Name],"",0,)</f>
        <v/>
      </c>
      <c r="C148" s="22"/>
      <c r="D148" s="22"/>
      <c r="E148" s="22"/>
      <c r="F148" s="22"/>
      <c r="G148" s="22"/>
      <c r="H148" s="22"/>
      <c r="I148" s="22"/>
      <c r="J148" s="22"/>
      <c r="K148" s="22"/>
      <c r="L148" s="22"/>
      <c r="M148" s="8">
        <f>SUM(InnovationProjectResults[[#This Row],[Explore 1]:[Communicate 2 (CV)]])</f>
        <v>0</v>
      </c>
      <c r="N148" s="21">
        <f>IF(InnovationProjectResults[[#This Row],[Team Number]]&gt;0,MIN(_xlfn.RANK.EQ(InnovationProjectResults[[#This Row],[Innovation Project Score]],InnovationProjectResults[Innovation Project Score],0),NumberOfTeams),NumberOfTeams+1)</f>
        <v>9</v>
      </c>
    </row>
    <row r="149" spans="1:14" ht="30" customHeight="1" x14ac:dyDescent="0.25">
      <c r="A149" s="8">
        <f>_xlfn.XLOOKUP(148,OfficialTeamList[Row],OfficialTeamList[Team Number],"ERROR",0)</f>
        <v>0</v>
      </c>
      <c r="B149" s="20" t="str">
        <f>_xlfn.XLOOKUP(InnovationProjectResults[[#This Row],[Team Number]],OfficialTeamList[Team Number],OfficialTeamList[Team Name],"",0,)</f>
        <v/>
      </c>
      <c r="C149" s="22"/>
      <c r="D149" s="22"/>
      <c r="E149" s="22"/>
      <c r="F149" s="22"/>
      <c r="G149" s="22"/>
      <c r="H149" s="22"/>
      <c r="I149" s="22"/>
      <c r="J149" s="22"/>
      <c r="K149" s="22"/>
      <c r="L149" s="22"/>
      <c r="M149" s="8">
        <f>SUM(InnovationProjectResults[[#This Row],[Explore 1]:[Communicate 2 (CV)]])</f>
        <v>0</v>
      </c>
      <c r="N149" s="21">
        <f>IF(InnovationProjectResults[[#This Row],[Team Number]]&gt;0,MIN(_xlfn.RANK.EQ(InnovationProjectResults[[#This Row],[Innovation Project Score]],InnovationProjectResults[Innovation Project Score],0),NumberOfTeams),NumberOfTeams+1)</f>
        <v>9</v>
      </c>
    </row>
    <row r="150" spans="1:14" ht="30" customHeight="1" x14ac:dyDescent="0.25">
      <c r="A150" s="8">
        <f>_xlfn.XLOOKUP(149,OfficialTeamList[Row],OfficialTeamList[Team Number],"ERROR",0)</f>
        <v>0</v>
      </c>
      <c r="B150" s="20" t="str">
        <f>_xlfn.XLOOKUP(InnovationProjectResults[[#This Row],[Team Number]],OfficialTeamList[Team Number],OfficialTeamList[Team Name],"",0,)</f>
        <v/>
      </c>
      <c r="C150" s="22"/>
      <c r="D150" s="22"/>
      <c r="E150" s="22"/>
      <c r="F150" s="22"/>
      <c r="G150" s="22"/>
      <c r="H150" s="22"/>
      <c r="I150" s="22"/>
      <c r="J150" s="22"/>
      <c r="K150" s="22"/>
      <c r="L150" s="22"/>
      <c r="M150" s="8">
        <f>SUM(InnovationProjectResults[[#This Row],[Explore 1]:[Communicate 2 (CV)]])</f>
        <v>0</v>
      </c>
      <c r="N150" s="21">
        <f>IF(InnovationProjectResults[[#This Row],[Team Number]]&gt;0,MIN(_xlfn.RANK.EQ(InnovationProjectResults[[#This Row],[Innovation Project Score]],InnovationProjectResults[Innovation Project Score],0),NumberOfTeams),NumberOfTeams+1)</f>
        <v>9</v>
      </c>
    </row>
    <row r="151" spans="1:14" ht="30" customHeight="1" x14ac:dyDescent="0.25">
      <c r="A151" s="8">
        <f>_xlfn.XLOOKUP(150,OfficialTeamList[Row],OfficialTeamList[Team Number],"ERROR",0)</f>
        <v>0</v>
      </c>
      <c r="B151" s="20" t="str">
        <f>_xlfn.XLOOKUP(InnovationProjectResults[[#This Row],[Team Number]],OfficialTeamList[Team Number],OfficialTeamList[Team Name],"",0,)</f>
        <v/>
      </c>
      <c r="C151" s="22"/>
      <c r="D151" s="22"/>
      <c r="E151" s="22"/>
      <c r="F151" s="22"/>
      <c r="G151" s="22"/>
      <c r="H151" s="22"/>
      <c r="I151" s="22"/>
      <c r="J151" s="22"/>
      <c r="K151" s="22"/>
      <c r="L151" s="22"/>
      <c r="M151" s="8">
        <f>SUM(InnovationProjectResults[[#This Row],[Explore 1]:[Communicate 2 (CV)]])</f>
        <v>0</v>
      </c>
      <c r="N151" s="21">
        <f>IF(InnovationProjectResults[[#This Row],[Team Number]]&gt;0,MIN(_xlfn.RANK.EQ(InnovationProjectResults[[#This Row],[Innovation Project Score]],InnovationProjectResults[Innovation Project Score],0),NumberOfTeams),NumberOfTeams+1)</f>
        <v>9</v>
      </c>
    </row>
    <row r="152" spans="1:14" ht="30" customHeight="1" x14ac:dyDescent="0.25">
      <c r="A152" s="8">
        <f>_xlfn.XLOOKUP(151,OfficialTeamList[Row],OfficialTeamList[Team Number],"ERROR",0)</f>
        <v>0</v>
      </c>
      <c r="B152" s="20" t="str">
        <f>_xlfn.XLOOKUP(InnovationProjectResults[[#This Row],[Team Number]],OfficialTeamList[Team Number],OfficialTeamList[Team Name],"",0,)</f>
        <v/>
      </c>
      <c r="C152" s="22"/>
      <c r="D152" s="22"/>
      <c r="E152" s="22"/>
      <c r="F152" s="22"/>
      <c r="G152" s="22"/>
      <c r="H152" s="22"/>
      <c r="I152" s="22"/>
      <c r="J152" s="22"/>
      <c r="K152" s="22"/>
      <c r="L152" s="22"/>
      <c r="M152" s="8">
        <f>SUM(InnovationProjectResults[[#This Row],[Explore 1]:[Communicate 2 (CV)]])</f>
        <v>0</v>
      </c>
      <c r="N152" s="21">
        <f>IF(InnovationProjectResults[[#This Row],[Team Number]]&gt;0,MIN(_xlfn.RANK.EQ(InnovationProjectResults[[#This Row],[Innovation Project Score]],InnovationProjectResults[Innovation Project Score],0),NumberOfTeams),NumberOfTeams+1)</f>
        <v>9</v>
      </c>
    </row>
    <row r="153" spans="1:14" ht="30" customHeight="1" x14ac:dyDescent="0.25">
      <c r="A153" s="8">
        <f>_xlfn.XLOOKUP(152,OfficialTeamList[Row],OfficialTeamList[Team Number],"ERROR",0)</f>
        <v>0</v>
      </c>
      <c r="B153" s="20" t="str">
        <f>_xlfn.XLOOKUP(InnovationProjectResults[[#This Row],[Team Number]],OfficialTeamList[Team Number],OfficialTeamList[Team Name],"",0,)</f>
        <v/>
      </c>
      <c r="C153" s="22"/>
      <c r="D153" s="22"/>
      <c r="E153" s="22"/>
      <c r="F153" s="22"/>
      <c r="G153" s="22"/>
      <c r="H153" s="22"/>
      <c r="I153" s="22"/>
      <c r="J153" s="22"/>
      <c r="K153" s="22"/>
      <c r="L153" s="22"/>
      <c r="M153" s="8">
        <f>SUM(InnovationProjectResults[[#This Row],[Explore 1]:[Communicate 2 (CV)]])</f>
        <v>0</v>
      </c>
      <c r="N153" s="21">
        <f>IF(InnovationProjectResults[[#This Row],[Team Number]]&gt;0,MIN(_xlfn.RANK.EQ(InnovationProjectResults[[#This Row],[Innovation Project Score]],InnovationProjectResults[Innovation Project Score],0),NumberOfTeams),NumberOfTeams+1)</f>
        <v>9</v>
      </c>
    </row>
    <row r="154" spans="1:14" ht="30" customHeight="1" x14ac:dyDescent="0.25">
      <c r="A154" s="8">
        <f>_xlfn.XLOOKUP(153,OfficialTeamList[Row],OfficialTeamList[Team Number],"ERROR",0)</f>
        <v>0</v>
      </c>
      <c r="B154" s="20" t="str">
        <f>_xlfn.XLOOKUP(InnovationProjectResults[[#This Row],[Team Number]],OfficialTeamList[Team Number],OfficialTeamList[Team Name],"",0,)</f>
        <v/>
      </c>
      <c r="C154" s="22"/>
      <c r="D154" s="22"/>
      <c r="E154" s="22"/>
      <c r="F154" s="22"/>
      <c r="G154" s="22"/>
      <c r="H154" s="22"/>
      <c r="I154" s="22"/>
      <c r="J154" s="22"/>
      <c r="K154" s="22"/>
      <c r="L154" s="22"/>
      <c r="M154" s="8">
        <f>SUM(InnovationProjectResults[[#This Row],[Explore 1]:[Communicate 2 (CV)]])</f>
        <v>0</v>
      </c>
      <c r="N154" s="21">
        <f>IF(InnovationProjectResults[[#This Row],[Team Number]]&gt;0,MIN(_xlfn.RANK.EQ(InnovationProjectResults[[#This Row],[Innovation Project Score]],InnovationProjectResults[Innovation Project Score],0),NumberOfTeams),NumberOfTeams+1)</f>
        <v>9</v>
      </c>
    </row>
    <row r="155" spans="1:14" ht="30" customHeight="1" x14ac:dyDescent="0.25">
      <c r="A155" s="8">
        <f>_xlfn.XLOOKUP(154,OfficialTeamList[Row],OfficialTeamList[Team Number],"ERROR",0)</f>
        <v>0</v>
      </c>
      <c r="B155" s="20" t="str">
        <f>_xlfn.XLOOKUP(InnovationProjectResults[[#This Row],[Team Number]],OfficialTeamList[Team Number],OfficialTeamList[Team Name],"",0,)</f>
        <v/>
      </c>
      <c r="C155" s="22"/>
      <c r="D155" s="22"/>
      <c r="E155" s="22"/>
      <c r="F155" s="22"/>
      <c r="G155" s="22"/>
      <c r="H155" s="22"/>
      <c r="I155" s="22"/>
      <c r="J155" s="22"/>
      <c r="K155" s="22"/>
      <c r="L155" s="22"/>
      <c r="M155" s="8">
        <f>SUM(InnovationProjectResults[[#This Row],[Explore 1]:[Communicate 2 (CV)]])</f>
        <v>0</v>
      </c>
      <c r="N155" s="21">
        <f>IF(InnovationProjectResults[[#This Row],[Team Number]]&gt;0,MIN(_xlfn.RANK.EQ(InnovationProjectResults[[#This Row],[Innovation Project Score]],InnovationProjectResults[Innovation Project Score],0),NumberOfTeams),NumberOfTeams+1)</f>
        <v>9</v>
      </c>
    </row>
    <row r="156" spans="1:14" ht="30" customHeight="1" x14ac:dyDescent="0.25">
      <c r="A156" s="8">
        <f>_xlfn.XLOOKUP(155,OfficialTeamList[Row],OfficialTeamList[Team Number],"ERROR",0)</f>
        <v>0</v>
      </c>
      <c r="B156" s="20" t="str">
        <f>_xlfn.XLOOKUP(InnovationProjectResults[[#This Row],[Team Number]],OfficialTeamList[Team Number],OfficialTeamList[Team Name],"",0,)</f>
        <v/>
      </c>
      <c r="C156" s="22"/>
      <c r="D156" s="22"/>
      <c r="E156" s="22"/>
      <c r="F156" s="22"/>
      <c r="G156" s="22"/>
      <c r="H156" s="22"/>
      <c r="I156" s="22"/>
      <c r="J156" s="22"/>
      <c r="K156" s="22"/>
      <c r="L156" s="22"/>
      <c r="M156" s="8">
        <f>SUM(InnovationProjectResults[[#This Row],[Explore 1]:[Communicate 2 (CV)]])</f>
        <v>0</v>
      </c>
      <c r="N156" s="21">
        <f>IF(InnovationProjectResults[[#This Row],[Team Number]]&gt;0,MIN(_xlfn.RANK.EQ(InnovationProjectResults[[#This Row],[Innovation Project Score]],InnovationProjectResults[Innovation Project Score],0),NumberOfTeams),NumberOfTeams+1)</f>
        <v>9</v>
      </c>
    </row>
    <row r="157" spans="1:14" ht="30" customHeight="1" x14ac:dyDescent="0.25">
      <c r="A157" s="8">
        <f>_xlfn.XLOOKUP(156,OfficialTeamList[Row],OfficialTeamList[Team Number],"ERROR",0)</f>
        <v>0</v>
      </c>
      <c r="B157" s="20" t="str">
        <f>_xlfn.XLOOKUP(InnovationProjectResults[[#This Row],[Team Number]],OfficialTeamList[Team Number],OfficialTeamList[Team Name],"",0,)</f>
        <v/>
      </c>
      <c r="C157" s="22"/>
      <c r="D157" s="22"/>
      <c r="E157" s="22"/>
      <c r="F157" s="22"/>
      <c r="G157" s="22"/>
      <c r="H157" s="22"/>
      <c r="I157" s="22"/>
      <c r="J157" s="22"/>
      <c r="K157" s="22"/>
      <c r="L157" s="22"/>
      <c r="M157" s="8">
        <f>SUM(InnovationProjectResults[[#This Row],[Explore 1]:[Communicate 2 (CV)]])</f>
        <v>0</v>
      </c>
      <c r="N157" s="21">
        <f>IF(InnovationProjectResults[[#This Row],[Team Number]]&gt;0,MIN(_xlfn.RANK.EQ(InnovationProjectResults[[#This Row],[Innovation Project Score]],InnovationProjectResults[Innovation Project Score],0),NumberOfTeams),NumberOfTeams+1)</f>
        <v>9</v>
      </c>
    </row>
    <row r="158" spans="1:14" ht="30" customHeight="1" x14ac:dyDescent="0.25">
      <c r="A158" s="8">
        <f>_xlfn.XLOOKUP(157,OfficialTeamList[Row],OfficialTeamList[Team Number],"ERROR",0)</f>
        <v>0</v>
      </c>
      <c r="B158" s="20" t="str">
        <f>_xlfn.XLOOKUP(InnovationProjectResults[[#This Row],[Team Number]],OfficialTeamList[Team Number],OfficialTeamList[Team Name],"",0,)</f>
        <v/>
      </c>
      <c r="C158" s="22"/>
      <c r="D158" s="22"/>
      <c r="E158" s="22"/>
      <c r="F158" s="22"/>
      <c r="G158" s="22"/>
      <c r="H158" s="22"/>
      <c r="I158" s="22"/>
      <c r="J158" s="22"/>
      <c r="K158" s="22"/>
      <c r="L158" s="22"/>
      <c r="M158" s="8">
        <f>SUM(InnovationProjectResults[[#This Row],[Explore 1]:[Communicate 2 (CV)]])</f>
        <v>0</v>
      </c>
      <c r="N158" s="21">
        <f>IF(InnovationProjectResults[[#This Row],[Team Number]]&gt;0,MIN(_xlfn.RANK.EQ(InnovationProjectResults[[#This Row],[Innovation Project Score]],InnovationProjectResults[Innovation Project Score],0),NumberOfTeams),NumberOfTeams+1)</f>
        <v>9</v>
      </c>
    </row>
    <row r="159" spans="1:14" ht="30" customHeight="1" x14ac:dyDescent="0.25">
      <c r="A159" s="8">
        <f>_xlfn.XLOOKUP(158,OfficialTeamList[Row],OfficialTeamList[Team Number],"ERROR",0)</f>
        <v>0</v>
      </c>
      <c r="B159" s="20" t="str">
        <f>_xlfn.XLOOKUP(InnovationProjectResults[[#This Row],[Team Number]],OfficialTeamList[Team Number],OfficialTeamList[Team Name],"",0,)</f>
        <v/>
      </c>
      <c r="C159" s="22"/>
      <c r="D159" s="22"/>
      <c r="E159" s="22"/>
      <c r="F159" s="22"/>
      <c r="G159" s="22"/>
      <c r="H159" s="22"/>
      <c r="I159" s="22"/>
      <c r="J159" s="22"/>
      <c r="K159" s="22"/>
      <c r="L159" s="22"/>
      <c r="M159" s="8">
        <f>SUM(InnovationProjectResults[[#This Row],[Explore 1]:[Communicate 2 (CV)]])</f>
        <v>0</v>
      </c>
      <c r="N159" s="21">
        <f>IF(InnovationProjectResults[[#This Row],[Team Number]]&gt;0,MIN(_xlfn.RANK.EQ(InnovationProjectResults[[#This Row],[Innovation Project Score]],InnovationProjectResults[Innovation Project Score],0),NumberOfTeams),NumberOfTeams+1)</f>
        <v>9</v>
      </c>
    </row>
    <row r="160" spans="1:14" ht="30" customHeight="1" x14ac:dyDescent="0.25">
      <c r="A160" s="8">
        <f>_xlfn.XLOOKUP(159,OfficialTeamList[Row],OfficialTeamList[Team Number],"ERROR",0)</f>
        <v>0</v>
      </c>
      <c r="B160" s="20" t="str">
        <f>_xlfn.XLOOKUP(InnovationProjectResults[[#This Row],[Team Number]],OfficialTeamList[Team Number],OfficialTeamList[Team Name],"",0,)</f>
        <v/>
      </c>
      <c r="C160" s="22"/>
      <c r="D160" s="22"/>
      <c r="E160" s="22"/>
      <c r="F160" s="22"/>
      <c r="G160" s="22"/>
      <c r="H160" s="22"/>
      <c r="I160" s="22"/>
      <c r="J160" s="22"/>
      <c r="K160" s="22"/>
      <c r="L160" s="22"/>
      <c r="M160" s="8">
        <f>SUM(InnovationProjectResults[[#This Row],[Explore 1]:[Communicate 2 (CV)]])</f>
        <v>0</v>
      </c>
      <c r="N160" s="21">
        <f>IF(InnovationProjectResults[[#This Row],[Team Number]]&gt;0,MIN(_xlfn.RANK.EQ(InnovationProjectResults[[#This Row],[Innovation Project Score]],InnovationProjectResults[Innovation Project Score],0),NumberOfTeams),NumberOfTeams+1)</f>
        <v>9</v>
      </c>
    </row>
    <row r="161" spans="1:14" ht="30" customHeight="1" x14ac:dyDescent="0.25">
      <c r="A161" s="8">
        <f>_xlfn.XLOOKUP(160,OfficialTeamList[Row],OfficialTeamList[Team Number],"ERROR",0)</f>
        <v>0</v>
      </c>
      <c r="B161" s="20" t="str">
        <f>_xlfn.XLOOKUP(InnovationProjectResults[[#This Row],[Team Number]],OfficialTeamList[Team Number],OfficialTeamList[Team Name],"",0,)</f>
        <v/>
      </c>
      <c r="C161" s="22"/>
      <c r="D161" s="22"/>
      <c r="E161" s="22"/>
      <c r="F161" s="22"/>
      <c r="G161" s="22"/>
      <c r="H161" s="22"/>
      <c r="I161" s="22"/>
      <c r="J161" s="22"/>
      <c r="K161" s="22"/>
      <c r="L161" s="22"/>
      <c r="M161" s="8">
        <f>SUM(InnovationProjectResults[[#This Row],[Explore 1]:[Communicate 2 (CV)]])</f>
        <v>0</v>
      </c>
      <c r="N161" s="21">
        <f>IF(InnovationProjectResults[[#This Row],[Team Number]]&gt;0,MIN(_xlfn.RANK.EQ(InnovationProjectResults[[#This Row],[Innovation Project Score]],InnovationProjectResults[Innovation Project Score],0),NumberOfTeams),NumberOfTeams+1)</f>
        <v>9</v>
      </c>
    </row>
    <row r="162" spans="1:14" ht="30" customHeight="1" x14ac:dyDescent="0.25">
      <c r="A162" s="8">
        <f>_xlfn.XLOOKUP(161,OfficialTeamList[Row],OfficialTeamList[Team Number],"ERROR",0)</f>
        <v>0</v>
      </c>
      <c r="B162" s="20" t="str">
        <f>_xlfn.XLOOKUP(InnovationProjectResults[[#This Row],[Team Number]],OfficialTeamList[Team Number],OfficialTeamList[Team Name],"",0,)</f>
        <v/>
      </c>
      <c r="C162" s="22"/>
      <c r="D162" s="22"/>
      <c r="E162" s="22"/>
      <c r="F162" s="22"/>
      <c r="G162" s="22"/>
      <c r="H162" s="22"/>
      <c r="I162" s="22"/>
      <c r="J162" s="22"/>
      <c r="K162" s="22"/>
      <c r="L162" s="22"/>
      <c r="M162" s="8">
        <f>SUM(InnovationProjectResults[[#This Row],[Explore 1]:[Communicate 2 (CV)]])</f>
        <v>0</v>
      </c>
      <c r="N162" s="21">
        <f>IF(InnovationProjectResults[[#This Row],[Team Number]]&gt;0,MIN(_xlfn.RANK.EQ(InnovationProjectResults[[#This Row],[Innovation Project Score]],InnovationProjectResults[Innovation Project Score],0),NumberOfTeams),NumberOfTeams+1)</f>
        <v>9</v>
      </c>
    </row>
    <row r="163" spans="1:14" ht="30" customHeight="1" x14ac:dyDescent="0.25">
      <c r="A163" s="8">
        <f>_xlfn.XLOOKUP(162,OfficialTeamList[Row],OfficialTeamList[Team Number],"ERROR",0)</f>
        <v>0</v>
      </c>
      <c r="B163" s="20" t="str">
        <f>_xlfn.XLOOKUP(InnovationProjectResults[[#This Row],[Team Number]],OfficialTeamList[Team Number],OfficialTeamList[Team Name],"",0,)</f>
        <v/>
      </c>
      <c r="C163" s="22"/>
      <c r="D163" s="22"/>
      <c r="E163" s="22"/>
      <c r="F163" s="22"/>
      <c r="G163" s="22"/>
      <c r="H163" s="22"/>
      <c r="I163" s="22"/>
      <c r="J163" s="22"/>
      <c r="K163" s="22"/>
      <c r="L163" s="22"/>
      <c r="M163" s="8">
        <f>SUM(InnovationProjectResults[[#This Row],[Explore 1]:[Communicate 2 (CV)]])</f>
        <v>0</v>
      </c>
      <c r="N163" s="21">
        <f>IF(InnovationProjectResults[[#This Row],[Team Number]]&gt;0,MIN(_xlfn.RANK.EQ(InnovationProjectResults[[#This Row],[Innovation Project Score]],InnovationProjectResults[Innovation Project Score],0),NumberOfTeams),NumberOfTeams+1)</f>
        <v>9</v>
      </c>
    </row>
    <row r="164" spans="1:14" ht="30" customHeight="1" x14ac:dyDescent="0.25">
      <c r="A164" s="8">
        <f>_xlfn.XLOOKUP(163,OfficialTeamList[Row],OfficialTeamList[Team Number],"ERROR",0)</f>
        <v>0</v>
      </c>
      <c r="B164" s="20" t="str">
        <f>_xlfn.XLOOKUP(InnovationProjectResults[[#This Row],[Team Number]],OfficialTeamList[Team Number],OfficialTeamList[Team Name],"",0,)</f>
        <v/>
      </c>
      <c r="C164" s="22"/>
      <c r="D164" s="22"/>
      <c r="E164" s="22"/>
      <c r="F164" s="22"/>
      <c r="G164" s="22"/>
      <c r="H164" s="22"/>
      <c r="I164" s="22"/>
      <c r="J164" s="22"/>
      <c r="K164" s="22"/>
      <c r="L164" s="22"/>
      <c r="M164" s="8">
        <f>SUM(InnovationProjectResults[[#This Row],[Explore 1]:[Communicate 2 (CV)]])</f>
        <v>0</v>
      </c>
      <c r="N164" s="21">
        <f>IF(InnovationProjectResults[[#This Row],[Team Number]]&gt;0,MIN(_xlfn.RANK.EQ(InnovationProjectResults[[#This Row],[Innovation Project Score]],InnovationProjectResults[Innovation Project Score],0),NumberOfTeams),NumberOfTeams+1)</f>
        <v>9</v>
      </c>
    </row>
    <row r="165" spans="1:14" ht="30" customHeight="1" x14ac:dyDescent="0.25">
      <c r="A165" s="8">
        <f>_xlfn.XLOOKUP(164,OfficialTeamList[Row],OfficialTeamList[Team Number],"ERROR",0)</f>
        <v>0</v>
      </c>
      <c r="B165" s="20" t="str">
        <f>_xlfn.XLOOKUP(InnovationProjectResults[[#This Row],[Team Number]],OfficialTeamList[Team Number],OfficialTeamList[Team Name],"",0,)</f>
        <v/>
      </c>
      <c r="C165" s="22"/>
      <c r="D165" s="22"/>
      <c r="E165" s="22"/>
      <c r="F165" s="22"/>
      <c r="G165" s="22"/>
      <c r="H165" s="22"/>
      <c r="I165" s="22"/>
      <c r="J165" s="22"/>
      <c r="K165" s="22"/>
      <c r="L165" s="22"/>
      <c r="M165" s="8">
        <f>SUM(InnovationProjectResults[[#This Row],[Explore 1]:[Communicate 2 (CV)]])</f>
        <v>0</v>
      </c>
      <c r="N165" s="21">
        <f>IF(InnovationProjectResults[[#This Row],[Team Number]]&gt;0,MIN(_xlfn.RANK.EQ(InnovationProjectResults[[#This Row],[Innovation Project Score]],InnovationProjectResults[Innovation Project Score],0),NumberOfTeams),NumberOfTeams+1)</f>
        <v>9</v>
      </c>
    </row>
    <row r="166" spans="1:14" ht="30" customHeight="1" x14ac:dyDescent="0.25">
      <c r="A166" s="8">
        <f>_xlfn.XLOOKUP(165,OfficialTeamList[Row],OfficialTeamList[Team Number],"ERROR",0)</f>
        <v>0</v>
      </c>
      <c r="B166" s="20" t="str">
        <f>_xlfn.XLOOKUP(InnovationProjectResults[[#This Row],[Team Number]],OfficialTeamList[Team Number],OfficialTeamList[Team Name],"",0,)</f>
        <v/>
      </c>
      <c r="C166" s="22"/>
      <c r="D166" s="22"/>
      <c r="E166" s="22"/>
      <c r="F166" s="22"/>
      <c r="G166" s="22"/>
      <c r="H166" s="22"/>
      <c r="I166" s="22"/>
      <c r="J166" s="22"/>
      <c r="K166" s="22"/>
      <c r="L166" s="22"/>
      <c r="M166" s="8">
        <f>SUM(InnovationProjectResults[[#This Row],[Explore 1]:[Communicate 2 (CV)]])</f>
        <v>0</v>
      </c>
      <c r="N166" s="21">
        <f>IF(InnovationProjectResults[[#This Row],[Team Number]]&gt;0,MIN(_xlfn.RANK.EQ(InnovationProjectResults[[#This Row],[Innovation Project Score]],InnovationProjectResults[Innovation Project Score],0),NumberOfTeams),NumberOfTeams+1)</f>
        <v>9</v>
      </c>
    </row>
    <row r="167" spans="1:14" ht="30" customHeight="1" x14ac:dyDescent="0.25">
      <c r="A167" s="8">
        <f>_xlfn.XLOOKUP(166,OfficialTeamList[Row],OfficialTeamList[Team Number],"ERROR",0)</f>
        <v>0</v>
      </c>
      <c r="B167" s="20" t="str">
        <f>_xlfn.XLOOKUP(InnovationProjectResults[[#This Row],[Team Number]],OfficialTeamList[Team Number],OfficialTeamList[Team Name],"",0,)</f>
        <v/>
      </c>
      <c r="C167" s="22"/>
      <c r="D167" s="22"/>
      <c r="E167" s="22"/>
      <c r="F167" s="22"/>
      <c r="G167" s="22"/>
      <c r="H167" s="22"/>
      <c r="I167" s="22"/>
      <c r="J167" s="22"/>
      <c r="K167" s="22"/>
      <c r="L167" s="22"/>
      <c r="M167" s="8">
        <f>SUM(InnovationProjectResults[[#This Row],[Explore 1]:[Communicate 2 (CV)]])</f>
        <v>0</v>
      </c>
      <c r="N167" s="21">
        <f>IF(InnovationProjectResults[[#This Row],[Team Number]]&gt;0,MIN(_xlfn.RANK.EQ(InnovationProjectResults[[#This Row],[Innovation Project Score]],InnovationProjectResults[Innovation Project Score],0),NumberOfTeams),NumberOfTeams+1)</f>
        <v>9</v>
      </c>
    </row>
    <row r="168" spans="1:14" ht="30" customHeight="1" x14ac:dyDescent="0.25">
      <c r="A168" s="8">
        <f>_xlfn.XLOOKUP(167,OfficialTeamList[Row],OfficialTeamList[Team Number],"ERROR",0)</f>
        <v>0</v>
      </c>
      <c r="B168" s="20" t="str">
        <f>_xlfn.XLOOKUP(InnovationProjectResults[[#This Row],[Team Number]],OfficialTeamList[Team Number],OfficialTeamList[Team Name],"",0,)</f>
        <v/>
      </c>
      <c r="C168" s="22"/>
      <c r="D168" s="22"/>
      <c r="E168" s="22"/>
      <c r="F168" s="22"/>
      <c r="G168" s="22"/>
      <c r="H168" s="22"/>
      <c r="I168" s="22"/>
      <c r="J168" s="22"/>
      <c r="K168" s="22"/>
      <c r="L168" s="22"/>
      <c r="M168" s="8">
        <f>SUM(InnovationProjectResults[[#This Row],[Explore 1]:[Communicate 2 (CV)]])</f>
        <v>0</v>
      </c>
      <c r="N168" s="21">
        <f>IF(InnovationProjectResults[[#This Row],[Team Number]]&gt;0,MIN(_xlfn.RANK.EQ(InnovationProjectResults[[#This Row],[Innovation Project Score]],InnovationProjectResults[Innovation Project Score],0),NumberOfTeams),NumberOfTeams+1)</f>
        <v>9</v>
      </c>
    </row>
    <row r="169" spans="1:14" ht="30" customHeight="1" x14ac:dyDescent="0.25">
      <c r="A169" s="8">
        <f>_xlfn.XLOOKUP(168,OfficialTeamList[Row],OfficialTeamList[Team Number],"ERROR",0)</f>
        <v>0</v>
      </c>
      <c r="B169" s="20" t="str">
        <f>_xlfn.XLOOKUP(InnovationProjectResults[[#This Row],[Team Number]],OfficialTeamList[Team Number],OfficialTeamList[Team Name],"",0,)</f>
        <v/>
      </c>
      <c r="C169" s="22"/>
      <c r="D169" s="22"/>
      <c r="E169" s="22"/>
      <c r="F169" s="22"/>
      <c r="G169" s="22"/>
      <c r="H169" s="22"/>
      <c r="I169" s="22"/>
      <c r="J169" s="22"/>
      <c r="K169" s="22"/>
      <c r="L169" s="22"/>
      <c r="M169" s="8">
        <f>SUM(InnovationProjectResults[[#This Row],[Explore 1]:[Communicate 2 (CV)]])</f>
        <v>0</v>
      </c>
      <c r="N169" s="21">
        <f>IF(InnovationProjectResults[[#This Row],[Team Number]]&gt;0,MIN(_xlfn.RANK.EQ(InnovationProjectResults[[#This Row],[Innovation Project Score]],InnovationProjectResults[Innovation Project Score],0),NumberOfTeams),NumberOfTeams+1)</f>
        <v>9</v>
      </c>
    </row>
    <row r="170" spans="1:14" ht="30" customHeight="1" x14ac:dyDescent="0.25">
      <c r="A170" s="8">
        <f>_xlfn.XLOOKUP(169,OfficialTeamList[Row],OfficialTeamList[Team Number],"ERROR",0)</f>
        <v>0</v>
      </c>
      <c r="B170" s="20" t="str">
        <f>_xlfn.XLOOKUP(InnovationProjectResults[[#This Row],[Team Number]],OfficialTeamList[Team Number],OfficialTeamList[Team Name],"",0,)</f>
        <v/>
      </c>
      <c r="C170" s="22"/>
      <c r="D170" s="22"/>
      <c r="E170" s="22"/>
      <c r="F170" s="22"/>
      <c r="G170" s="22"/>
      <c r="H170" s="22"/>
      <c r="I170" s="22"/>
      <c r="J170" s="22"/>
      <c r="K170" s="22"/>
      <c r="L170" s="22"/>
      <c r="M170" s="8">
        <f>SUM(InnovationProjectResults[[#This Row],[Explore 1]:[Communicate 2 (CV)]])</f>
        <v>0</v>
      </c>
      <c r="N170" s="21">
        <f>IF(InnovationProjectResults[[#This Row],[Team Number]]&gt;0,MIN(_xlfn.RANK.EQ(InnovationProjectResults[[#This Row],[Innovation Project Score]],InnovationProjectResults[Innovation Project Score],0),NumberOfTeams),NumberOfTeams+1)</f>
        <v>9</v>
      </c>
    </row>
    <row r="171" spans="1:14" ht="30" customHeight="1" x14ac:dyDescent="0.25">
      <c r="A171" s="8">
        <f>_xlfn.XLOOKUP(170,OfficialTeamList[Row],OfficialTeamList[Team Number],"ERROR",0)</f>
        <v>0</v>
      </c>
      <c r="B171" s="20" t="str">
        <f>_xlfn.XLOOKUP(InnovationProjectResults[[#This Row],[Team Number]],OfficialTeamList[Team Number],OfficialTeamList[Team Name],"",0,)</f>
        <v/>
      </c>
      <c r="C171" s="22"/>
      <c r="D171" s="22"/>
      <c r="E171" s="22"/>
      <c r="F171" s="22"/>
      <c r="G171" s="22"/>
      <c r="H171" s="22"/>
      <c r="I171" s="22"/>
      <c r="J171" s="22"/>
      <c r="K171" s="22"/>
      <c r="L171" s="22"/>
      <c r="M171" s="8">
        <f>SUM(InnovationProjectResults[[#This Row],[Explore 1]:[Communicate 2 (CV)]])</f>
        <v>0</v>
      </c>
      <c r="N171" s="21">
        <f>IF(InnovationProjectResults[[#This Row],[Team Number]]&gt;0,MIN(_xlfn.RANK.EQ(InnovationProjectResults[[#This Row],[Innovation Project Score]],InnovationProjectResults[Innovation Project Score],0),NumberOfTeams),NumberOfTeams+1)</f>
        <v>9</v>
      </c>
    </row>
    <row r="172" spans="1:14" ht="30" customHeight="1" x14ac:dyDescent="0.25">
      <c r="A172" s="8">
        <f>_xlfn.XLOOKUP(171,OfficialTeamList[Row],OfficialTeamList[Team Number],"ERROR",0)</f>
        <v>0</v>
      </c>
      <c r="B172" s="20" t="str">
        <f>_xlfn.XLOOKUP(InnovationProjectResults[[#This Row],[Team Number]],OfficialTeamList[Team Number],OfficialTeamList[Team Name],"",0,)</f>
        <v/>
      </c>
      <c r="C172" s="22"/>
      <c r="D172" s="22"/>
      <c r="E172" s="22"/>
      <c r="F172" s="22"/>
      <c r="G172" s="22"/>
      <c r="H172" s="22"/>
      <c r="I172" s="22"/>
      <c r="J172" s="22"/>
      <c r="K172" s="22"/>
      <c r="L172" s="22"/>
      <c r="M172" s="8">
        <f>SUM(InnovationProjectResults[[#This Row],[Explore 1]:[Communicate 2 (CV)]])</f>
        <v>0</v>
      </c>
      <c r="N172" s="21">
        <f>IF(InnovationProjectResults[[#This Row],[Team Number]]&gt;0,MIN(_xlfn.RANK.EQ(InnovationProjectResults[[#This Row],[Innovation Project Score]],InnovationProjectResults[Innovation Project Score],0),NumberOfTeams),NumberOfTeams+1)</f>
        <v>9</v>
      </c>
    </row>
    <row r="173" spans="1:14" ht="30" customHeight="1" x14ac:dyDescent="0.25">
      <c r="A173" s="8">
        <f>_xlfn.XLOOKUP(172,OfficialTeamList[Row],OfficialTeamList[Team Number],"ERROR",0)</f>
        <v>0</v>
      </c>
      <c r="B173" s="20" t="str">
        <f>_xlfn.XLOOKUP(InnovationProjectResults[[#This Row],[Team Number]],OfficialTeamList[Team Number],OfficialTeamList[Team Name],"",0,)</f>
        <v/>
      </c>
      <c r="C173" s="22"/>
      <c r="D173" s="22"/>
      <c r="E173" s="22"/>
      <c r="F173" s="22"/>
      <c r="G173" s="22"/>
      <c r="H173" s="22"/>
      <c r="I173" s="22"/>
      <c r="J173" s="22"/>
      <c r="K173" s="22"/>
      <c r="L173" s="22"/>
      <c r="M173" s="8">
        <f>SUM(InnovationProjectResults[[#This Row],[Explore 1]:[Communicate 2 (CV)]])</f>
        <v>0</v>
      </c>
      <c r="N173" s="21">
        <f>IF(InnovationProjectResults[[#This Row],[Team Number]]&gt;0,MIN(_xlfn.RANK.EQ(InnovationProjectResults[[#This Row],[Innovation Project Score]],InnovationProjectResults[Innovation Project Score],0),NumberOfTeams),NumberOfTeams+1)</f>
        <v>9</v>
      </c>
    </row>
    <row r="174" spans="1:14" ht="30" customHeight="1" x14ac:dyDescent="0.25">
      <c r="A174" s="8">
        <f>_xlfn.XLOOKUP(173,OfficialTeamList[Row],OfficialTeamList[Team Number],"ERROR",0)</f>
        <v>0</v>
      </c>
      <c r="B174" s="20" t="str">
        <f>_xlfn.XLOOKUP(InnovationProjectResults[[#This Row],[Team Number]],OfficialTeamList[Team Number],OfficialTeamList[Team Name],"",0,)</f>
        <v/>
      </c>
      <c r="C174" s="22"/>
      <c r="D174" s="22"/>
      <c r="E174" s="22"/>
      <c r="F174" s="22"/>
      <c r="G174" s="22"/>
      <c r="H174" s="22"/>
      <c r="I174" s="22"/>
      <c r="J174" s="22"/>
      <c r="K174" s="22"/>
      <c r="L174" s="22"/>
      <c r="M174" s="8">
        <f>SUM(InnovationProjectResults[[#This Row],[Explore 1]:[Communicate 2 (CV)]])</f>
        <v>0</v>
      </c>
      <c r="N174" s="21">
        <f>IF(InnovationProjectResults[[#This Row],[Team Number]]&gt;0,MIN(_xlfn.RANK.EQ(InnovationProjectResults[[#This Row],[Innovation Project Score]],InnovationProjectResults[Innovation Project Score],0),NumberOfTeams),NumberOfTeams+1)</f>
        <v>9</v>
      </c>
    </row>
    <row r="175" spans="1:14" ht="30" customHeight="1" x14ac:dyDescent="0.25">
      <c r="A175" s="8">
        <f>_xlfn.XLOOKUP(174,OfficialTeamList[Row],OfficialTeamList[Team Number],"ERROR",0)</f>
        <v>0</v>
      </c>
      <c r="B175" s="20" t="str">
        <f>_xlfn.XLOOKUP(InnovationProjectResults[[#This Row],[Team Number]],OfficialTeamList[Team Number],OfficialTeamList[Team Name],"",0,)</f>
        <v/>
      </c>
      <c r="C175" s="22"/>
      <c r="D175" s="22"/>
      <c r="E175" s="22"/>
      <c r="F175" s="22"/>
      <c r="G175" s="22"/>
      <c r="H175" s="22"/>
      <c r="I175" s="22"/>
      <c r="J175" s="22"/>
      <c r="K175" s="22"/>
      <c r="L175" s="22"/>
      <c r="M175" s="8">
        <f>SUM(InnovationProjectResults[[#This Row],[Explore 1]:[Communicate 2 (CV)]])</f>
        <v>0</v>
      </c>
      <c r="N175" s="21">
        <f>IF(InnovationProjectResults[[#This Row],[Team Number]]&gt;0,MIN(_xlfn.RANK.EQ(InnovationProjectResults[[#This Row],[Innovation Project Score]],InnovationProjectResults[Innovation Project Score],0),NumberOfTeams),NumberOfTeams+1)</f>
        <v>9</v>
      </c>
    </row>
    <row r="176" spans="1:14" ht="30" customHeight="1" x14ac:dyDescent="0.25">
      <c r="A176" s="8">
        <f>_xlfn.XLOOKUP(175,OfficialTeamList[Row],OfficialTeamList[Team Number],"ERROR",0)</f>
        <v>0</v>
      </c>
      <c r="B176" s="20" t="str">
        <f>_xlfn.XLOOKUP(InnovationProjectResults[[#This Row],[Team Number]],OfficialTeamList[Team Number],OfficialTeamList[Team Name],"",0,)</f>
        <v/>
      </c>
      <c r="C176" s="22"/>
      <c r="D176" s="22"/>
      <c r="E176" s="22"/>
      <c r="F176" s="22"/>
      <c r="G176" s="22"/>
      <c r="H176" s="22"/>
      <c r="I176" s="22"/>
      <c r="J176" s="22"/>
      <c r="K176" s="22"/>
      <c r="L176" s="22"/>
      <c r="M176" s="8">
        <f>SUM(InnovationProjectResults[[#This Row],[Explore 1]:[Communicate 2 (CV)]])</f>
        <v>0</v>
      </c>
      <c r="N176" s="21">
        <f>IF(InnovationProjectResults[[#This Row],[Team Number]]&gt;0,MIN(_xlfn.RANK.EQ(InnovationProjectResults[[#This Row],[Innovation Project Score]],InnovationProjectResults[Innovation Project Score],0),NumberOfTeams),NumberOfTeams+1)</f>
        <v>9</v>
      </c>
    </row>
    <row r="177" spans="1:14" ht="30" customHeight="1" x14ac:dyDescent="0.25">
      <c r="A177" s="8">
        <f>_xlfn.XLOOKUP(176,OfficialTeamList[Row],OfficialTeamList[Team Number],"ERROR",0)</f>
        <v>0</v>
      </c>
      <c r="B177" s="20" t="str">
        <f>_xlfn.XLOOKUP(InnovationProjectResults[[#This Row],[Team Number]],OfficialTeamList[Team Number],OfficialTeamList[Team Name],"",0,)</f>
        <v/>
      </c>
      <c r="C177" s="22"/>
      <c r="D177" s="22"/>
      <c r="E177" s="22"/>
      <c r="F177" s="22"/>
      <c r="G177" s="22"/>
      <c r="H177" s="22"/>
      <c r="I177" s="22"/>
      <c r="J177" s="22"/>
      <c r="K177" s="22"/>
      <c r="L177" s="22"/>
      <c r="M177" s="8">
        <f>SUM(InnovationProjectResults[[#This Row],[Explore 1]:[Communicate 2 (CV)]])</f>
        <v>0</v>
      </c>
      <c r="N177" s="21">
        <f>IF(InnovationProjectResults[[#This Row],[Team Number]]&gt;0,MIN(_xlfn.RANK.EQ(InnovationProjectResults[[#This Row],[Innovation Project Score]],InnovationProjectResults[Innovation Project Score],0),NumberOfTeams),NumberOfTeams+1)</f>
        <v>9</v>
      </c>
    </row>
    <row r="178" spans="1:14" ht="30" customHeight="1" x14ac:dyDescent="0.25">
      <c r="A178" s="8">
        <f>_xlfn.XLOOKUP(177,OfficialTeamList[Row],OfficialTeamList[Team Number],"ERROR",0)</f>
        <v>0</v>
      </c>
      <c r="B178" s="20" t="str">
        <f>_xlfn.XLOOKUP(InnovationProjectResults[[#This Row],[Team Number]],OfficialTeamList[Team Number],OfficialTeamList[Team Name],"",0,)</f>
        <v/>
      </c>
      <c r="C178" s="22"/>
      <c r="D178" s="22"/>
      <c r="E178" s="22"/>
      <c r="F178" s="22"/>
      <c r="G178" s="22"/>
      <c r="H178" s="22"/>
      <c r="I178" s="22"/>
      <c r="J178" s="22"/>
      <c r="K178" s="22"/>
      <c r="L178" s="22"/>
      <c r="M178" s="8">
        <f>SUM(InnovationProjectResults[[#This Row],[Explore 1]:[Communicate 2 (CV)]])</f>
        <v>0</v>
      </c>
      <c r="N178" s="21">
        <f>IF(InnovationProjectResults[[#This Row],[Team Number]]&gt;0,MIN(_xlfn.RANK.EQ(InnovationProjectResults[[#This Row],[Innovation Project Score]],InnovationProjectResults[Innovation Project Score],0),NumberOfTeams),NumberOfTeams+1)</f>
        <v>9</v>
      </c>
    </row>
    <row r="179" spans="1:14" ht="30" customHeight="1" x14ac:dyDescent="0.25">
      <c r="A179" s="8">
        <f>_xlfn.XLOOKUP(178,OfficialTeamList[Row],OfficialTeamList[Team Number],"ERROR",0)</f>
        <v>0</v>
      </c>
      <c r="B179" s="20" t="str">
        <f>_xlfn.XLOOKUP(InnovationProjectResults[[#This Row],[Team Number]],OfficialTeamList[Team Number],OfficialTeamList[Team Name],"",0,)</f>
        <v/>
      </c>
      <c r="C179" s="22"/>
      <c r="D179" s="22"/>
      <c r="E179" s="22"/>
      <c r="F179" s="22"/>
      <c r="G179" s="22"/>
      <c r="H179" s="22"/>
      <c r="I179" s="22"/>
      <c r="J179" s="22"/>
      <c r="K179" s="22"/>
      <c r="L179" s="22"/>
      <c r="M179" s="8">
        <f>SUM(InnovationProjectResults[[#This Row],[Explore 1]:[Communicate 2 (CV)]])</f>
        <v>0</v>
      </c>
      <c r="N179" s="21">
        <f>IF(InnovationProjectResults[[#This Row],[Team Number]]&gt;0,MIN(_xlfn.RANK.EQ(InnovationProjectResults[[#This Row],[Innovation Project Score]],InnovationProjectResults[Innovation Project Score],0),NumberOfTeams),NumberOfTeams+1)</f>
        <v>9</v>
      </c>
    </row>
    <row r="180" spans="1:14" ht="30" customHeight="1" x14ac:dyDescent="0.25">
      <c r="A180" s="8">
        <f>_xlfn.XLOOKUP(179,OfficialTeamList[Row],OfficialTeamList[Team Number],"ERROR",0)</f>
        <v>0</v>
      </c>
      <c r="B180" s="20" t="str">
        <f>_xlfn.XLOOKUP(InnovationProjectResults[[#This Row],[Team Number]],OfficialTeamList[Team Number],OfficialTeamList[Team Name],"",0,)</f>
        <v/>
      </c>
      <c r="C180" s="22"/>
      <c r="D180" s="22"/>
      <c r="E180" s="22"/>
      <c r="F180" s="22"/>
      <c r="G180" s="22"/>
      <c r="H180" s="22"/>
      <c r="I180" s="22"/>
      <c r="J180" s="22"/>
      <c r="K180" s="22"/>
      <c r="L180" s="22"/>
      <c r="M180" s="8">
        <f>SUM(InnovationProjectResults[[#This Row],[Explore 1]:[Communicate 2 (CV)]])</f>
        <v>0</v>
      </c>
      <c r="N180" s="21">
        <f>IF(InnovationProjectResults[[#This Row],[Team Number]]&gt;0,MIN(_xlfn.RANK.EQ(InnovationProjectResults[[#This Row],[Innovation Project Score]],InnovationProjectResults[Innovation Project Score],0),NumberOfTeams),NumberOfTeams+1)</f>
        <v>9</v>
      </c>
    </row>
    <row r="181" spans="1:14" ht="30" customHeight="1" x14ac:dyDescent="0.25">
      <c r="A181" s="8">
        <f>_xlfn.XLOOKUP(180,OfficialTeamList[Row],OfficialTeamList[Team Number],"ERROR",0)</f>
        <v>0</v>
      </c>
      <c r="B181" s="20" t="str">
        <f>_xlfn.XLOOKUP(InnovationProjectResults[[#This Row],[Team Number]],OfficialTeamList[Team Number],OfficialTeamList[Team Name],"",0,)</f>
        <v/>
      </c>
      <c r="C181" s="22"/>
      <c r="D181" s="22"/>
      <c r="E181" s="22"/>
      <c r="F181" s="22"/>
      <c r="G181" s="22"/>
      <c r="H181" s="22"/>
      <c r="I181" s="22"/>
      <c r="J181" s="22"/>
      <c r="K181" s="22"/>
      <c r="L181" s="22"/>
      <c r="M181" s="8">
        <f>SUM(InnovationProjectResults[[#This Row],[Explore 1]:[Communicate 2 (CV)]])</f>
        <v>0</v>
      </c>
      <c r="N181" s="21">
        <f>IF(InnovationProjectResults[[#This Row],[Team Number]]&gt;0,MIN(_xlfn.RANK.EQ(InnovationProjectResults[[#This Row],[Innovation Project Score]],InnovationProjectResults[Innovation Project Score],0),NumberOfTeams),NumberOfTeams+1)</f>
        <v>9</v>
      </c>
    </row>
    <row r="182" spans="1:14" ht="30" customHeight="1" x14ac:dyDescent="0.25">
      <c r="A182" s="8">
        <f>_xlfn.XLOOKUP(181,OfficialTeamList[Row],OfficialTeamList[Team Number],"ERROR",0)</f>
        <v>0</v>
      </c>
      <c r="B182" s="20" t="str">
        <f>_xlfn.XLOOKUP(InnovationProjectResults[[#This Row],[Team Number]],OfficialTeamList[Team Number],OfficialTeamList[Team Name],"",0,)</f>
        <v/>
      </c>
      <c r="C182" s="22"/>
      <c r="D182" s="22"/>
      <c r="E182" s="22"/>
      <c r="F182" s="22"/>
      <c r="G182" s="22"/>
      <c r="H182" s="22"/>
      <c r="I182" s="22"/>
      <c r="J182" s="22"/>
      <c r="K182" s="22"/>
      <c r="L182" s="22"/>
      <c r="M182" s="8">
        <f>SUM(InnovationProjectResults[[#This Row],[Explore 1]:[Communicate 2 (CV)]])</f>
        <v>0</v>
      </c>
      <c r="N182" s="21">
        <f>IF(InnovationProjectResults[[#This Row],[Team Number]]&gt;0,MIN(_xlfn.RANK.EQ(InnovationProjectResults[[#This Row],[Innovation Project Score]],InnovationProjectResults[Innovation Project Score],0),NumberOfTeams),NumberOfTeams+1)</f>
        <v>9</v>
      </c>
    </row>
    <row r="183" spans="1:14" ht="30" customHeight="1" x14ac:dyDescent="0.25">
      <c r="A183" s="8">
        <f>_xlfn.XLOOKUP(182,OfficialTeamList[Row],OfficialTeamList[Team Number],"ERROR",0)</f>
        <v>0</v>
      </c>
      <c r="B183" s="20" t="str">
        <f>_xlfn.XLOOKUP(InnovationProjectResults[[#This Row],[Team Number]],OfficialTeamList[Team Number],OfficialTeamList[Team Name],"",0,)</f>
        <v/>
      </c>
      <c r="C183" s="22"/>
      <c r="D183" s="22"/>
      <c r="E183" s="22"/>
      <c r="F183" s="22"/>
      <c r="G183" s="22"/>
      <c r="H183" s="22"/>
      <c r="I183" s="22"/>
      <c r="J183" s="22"/>
      <c r="K183" s="22"/>
      <c r="L183" s="22"/>
      <c r="M183" s="8">
        <f>SUM(InnovationProjectResults[[#This Row],[Explore 1]:[Communicate 2 (CV)]])</f>
        <v>0</v>
      </c>
      <c r="N183" s="21">
        <f>IF(InnovationProjectResults[[#This Row],[Team Number]]&gt;0,MIN(_xlfn.RANK.EQ(InnovationProjectResults[[#This Row],[Innovation Project Score]],InnovationProjectResults[Innovation Project Score],0),NumberOfTeams),NumberOfTeams+1)</f>
        <v>9</v>
      </c>
    </row>
    <row r="184" spans="1:14" ht="30" customHeight="1" x14ac:dyDescent="0.25">
      <c r="A184" s="8">
        <f>_xlfn.XLOOKUP(183,OfficialTeamList[Row],OfficialTeamList[Team Number],"ERROR",0)</f>
        <v>0</v>
      </c>
      <c r="B184" s="20" t="str">
        <f>_xlfn.XLOOKUP(InnovationProjectResults[[#This Row],[Team Number]],OfficialTeamList[Team Number],OfficialTeamList[Team Name],"",0,)</f>
        <v/>
      </c>
      <c r="C184" s="22"/>
      <c r="D184" s="22"/>
      <c r="E184" s="22"/>
      <c r="F184" s="22"/>
      <c r="G184" s="22"/>
      <c r="H184" s="22"/>
      <c r="I184" s="22"/>
      <c r="J184" s="22"/>
      <c r="K184" s="22"/>
      <c r="L184" s="22"/>
      <c r="M184" s="8">
        <f>SUM(InnovationProjectResults[[#This Row],[Explore 1]:[Communicate 2 (CV)]])</f>
        <v>0</v>
      </c>
      <c r="N184" s="21">
        <f>IF(InnovationProjectResults[[#This Row],[Team Number]]&gt;0,MIN(_xlfn.RANK.EQ(InnovationProjectResults[[#This Row],[Innovation Project Score]],InnovationProjectResults[Innovation Project Score],0),NumberOfTeams),NumberOfTeams+1)</f>
        <v>9</v>
      </c>
    </row>
    <row r="185" spans="1:14" ht="30" customHeight="1" x14ac:dyDescent="0.25">
      <c r="A185" s="8">
        <f>_xlfn.XLOOKUP(184,OfficialTeamList[Row],OfficialTeamList[Team Number],"ERROR",0)</f>
        <v>0</v>
      </c>
      <c r="B185" s="20" t="str">
        <f>_xlfn.XLOOKUP(InnovationProjectResults[[#This Row],[Team Number]],OfficialTeamList[Team Number],OfficialTeamList[Team Name],"",0,)</f>
        <v/>
      </c>
      <c r="C185" s="22"/>
      <c r="D185" s="22"/>
      <c r="E185" s="22"/>
      <c r="F185" s="22"/>
      <c r="G185" s="22"/>
      <c r="H185" s="22"/>
      <c r="I185" s="22"/>
      <c r="J185" s="22"/>
      <c r="K185" s="22"/>
      <c r="L185" s="22"/>
      <c r="M185" s="8">
        <f>SUM(InnovationProjectResults[[#This Row],[Explore 1]:[Communicate 2 (CV)]])</f>
        <v>0</v>
      </c>
      <c r="N185" s="21">
        <f>IF(InnovationProjectResults[[#This Row],[Team Number]]&gt;0,MIN(_xlfn.RANK.EQ(InnovationProjectResults[[#This Row],[Innovation Project Score]],InnovationProjectResults[Innovation Project Score],0),NumberOfTeams),NumberOfTeams+1)</f>
        <v>9</v>
      </c>
    </row>
    <row r="186" spans="1:14" ht="30" customHeight="1" x14ac:dyDescent="0.25">
      <c r="A186" s="8">
        <f>_xlfn.XLOOKUP(185,OfficialTeamList[Row],OfficialTeamList[Team Number],"ERROR",0)</f>
        <v>0</v>
      </c>
      <c r="B186" s="20" t="str">
        <f>_xlfn.XLOOKUP(InnovationProjectResults[[#This Row],[Team Number]],OfficialTeamList[Team Number],OfficialTeamList[Team Name],"",0,)</f>
        <v/>
      </c>
      <c r="C186" s="22"/>
      <c r="D186" s="22"/>
      <c r="E186" s="22"/>
      <c r="F186" s="22"/>
      <c r="G186" s="22"/>
      <c r="H186" s="22"/>
      <c r="I186" s="22"/>
      <c r="J186" s="22"/>
      <c r="K186" s="22"/>
      <c r="L186" s="22"/>
      <c r="M186" s="8">
        <f>SUM(InnovationProjectResults[[#This Row],[Explore 1]:[Communicate 2 (CV)]])</f>
        <v>0</v>
      </c>
      <c r="N186" s="21">
        <f>IF(InnovationProjectResults[[#This Row],[Team Number]]&gt;0,MIN(_xlfn.RANK.EQ(InnovationProjectResults[[#This Row],[Innovation Project Score]],InnovationProjectResults[Innovation Project Score],0),NumberOfTeams),NumberOfTeams+1)</f>
        <v>9</v>
      </c>
    </row>
    <row r="187" spans="1:14" ht="30" customHeight="1" x14ac:dyDescent="0.25">
      <c r="A187" s="8">
        <f>_xlfn.XLOOKUP(186,OfficialTeamList[Row],OfficialTeamList[Team Number],"ERROR",0)</f>
        <v>0</v>
      </c>
      <c r="B187" s="20" t="str">
        <f>_xlfn.XLOOKUP(InnovationProjectResults[[#This Row],[Team Number]],OfficialTeamList[Team Number],OfficialTeamList[Team Name],"",0,)</f>
        <v/>
      </c>
      <c r="C187" s="22"/>
      <c r="D187" s="22"/>
      <c r="E187" s="22"/>
      <c r="F187" s="22"/>
      <c r="G187" s="22"/>
      <c r="H187" s="22"/>
      <c r="I187" s="22"/>
      <c r="J187" s="22"/>
      <c r="K187" s="22"/>
      <c r="L187" s="22"/>
      <c r="M187" s="8">
        <f>SUM(InnovationProjectResults[[#This Row],[Explore 1]:[Communicate 2 (CV)]])</f>
        <v>0</v>
      </c>
      <c r="N187" s="21">
        <f>IF(InnovationProjectResults[[#This Row],[Team Number]]&gt;0,MIN(_xlfn.RANK.EQ(InnovationProjectResults[[#This Row],[Innovation Project Score]],InnovationProjectResults[Innovation Project Score],0),NumberOfTeams),NumberOfTeams+1)</f>
        <v>9</v>
      </c>
    </row>
    <row r="188" spans="1:14" ht="30" customHeight="1" x14ac:dyDescent="0.25">
      <c r="A188" s="8">
        <f>_xlfn.XLOOKUP(187,OfficialTeamList[Row],OfficialTeamList[Team Number],"ERROR",0)</f>
        <v>0</v>
      </c>
      <c r="B188" s="20" t="str">
        <f>_xlfn.XLOOKUP(InnovationProjectResults[[#This Row],[Team Number]],OfficialTeamList[Team Number],OfficialTeamList[Team Name],"",0,)</f>
        <v/>
      </c>
      <c r="C188" s="22"/>
      <c r="D188" s="22"/>
      <c r="E188" s="22"/>
      <c r="F188" s="22"/>
      <c r="G188" s="22"/>
      <c r="H188" s="22"/>
      <c r="I188" s="22"/>
      <c r="J188" s="22"/>
      <c r="K188" s="22"/>
      <c r="L188" s="22"/>
      <c r="M188" s="8">
        <f>SUM(InnovationProjectResults[[#This Row],[Explore 1]:[Communicate 2 (CV)]])</f>
        <v>0</v>
      </c>
      <c r="N188" s="21">
        <f>IF(InnovationProjectResults[[#This Row],[Team Number]]&gt;0,MIN(_xlfn.RANK.EQ(InnovationProjectResults[[#This Row],[Innovation Project Score]],InnovationProjectResults[Innovation Project Score],0),NumberOfTeams),NumberOfTeams+1)</f>
        <v>9</v>
      </c>
    </row>
    <row r="189" spans="1:14" ht="30" customHeight="1" x14ac:dyDescent="0.25">
      <c r="A189" s="8">
        <f>_xlfn.XLOOKUP(188,OfficialTeamList[Row],OfficialTeamList[Team Number],"ERROR",0)</f>
        <v>0</v>
      </c>
      <c r="B189" s="20" t="str">
        <f>_xlfn.XLOOKUP(InnovationProjectResults[[#This Row],[Team Number]],OfficialTeamList[Team Number],OfficialTeamList[Team Name],"",0,)</f>
        <v/>
      </c>
      <c r="C189" s="22"/>
      <c r="D189" s="22"/>
      <c r="E189" s="22"/>
      <c r="F189" s="22"/>
      <c r="G189" s="22"/>
      <c r="H189" s="22"/>
      <c r="I189" s="22"/>
      <c r="J189" s="22"/>
      <c r="K189" s="22"/>
      <c r="L189" s="22"/>
      <c r="M189" s="8">
        <f>SUM(InnovationProjectResults[[#This Row],[Explore 1]:[Communicate 2 (CV)]])</f>
        <v>0</v>
      </c>
      <c r="N189" s="21">
        <f>IF(InnovationProjectResults[[#This Row],[Team Number]]&gt;0,MIN(_xlfn.RANK.EQ(InnovationProjectResults[[#This Row],[Innovation Project Score]],InnovationProjectResults[Innovation Project Score],0),NumberOfTeams),NumberOfTeams+1)</f>
        <v>9</v>
      </c>
    </row>
    <row r="190" spans="1:14" ht="30" customHeight="1" x14ac:dyDescent="0.25">
      <c r="A190" s="8">
        <f>_xlfn.XLOOKUP(189,OfficialTeamList[Row],OfficialTeamList[Team Number],"ERROR",0)</f>
        <v>0</v>
      </c>
      <c r="B190" s="20" t="str">
        <f>_xlfn.XLOOKUP(InnovationProjectResults[[#This Row],[Team Number]],OfficialTeamList[Team Number],OfficialTeamList[Team Name],"",0,)</f>
        <v/>
      </c>
      <c r="C190" s="22"/>
      <c r="D190" s="22"/>
      <c r="E190" s="22"/>
      <c r="F190" s="22"/>
      <c r="G190" s="22"/>
      <c r="H190" s="22"/>
      <c r="I190" s="22"/>
      <c r="J190" s="22"/>
      <c r="K190" s="22"/>
      <c r="L190" s="22"/>
      <c r="M190" s="8">
        <f>SUM(InnovationProjectResults[[#This Row],[Explore 1]:[Communicate 2 (CV)]])</f>
        <v>0</v>
      </c>
      <c r="N190" s="21">
        <f>IF(InnovationProjectResults[[#This Row],[Team Number]]&gt;0,MIN(_xlfn.RANK.EQ(InnovationProjectResults[[#This Row],[Innovation Project Score]],InnovationProjectResults[Innovation Project Score],0),NumberOfTeams),NumberOfTeams+1)</f>
        <v>9</v>
      </c>
    </row>
    <row r="191" spans="1:14" ht="30" customHeight="1" x14ac:dyDescent="0.25">
      <c r="A191" s="8">
        <f>_xlfn.XLOOKUP(190,OfficialTeamList[Row],OfficialTeamList[Team Number],"ERROR",0)</f>
        <v>0</v>
      </c>
      <c r="B191" s="20" t="str">
        <f>_xlfn.XLOOKUP(InnovationProjectResults[[#This Row],[Team Number]],OfficialTeamList[Team Number],OfficialTeamList[Team Name],"",0,)</f>
        <v/>
      </c>
      <c r="C191" s="22"/>
      <c r="D191" s="22"/>
      <c r="E191" s="22"/>
      <c r="F191" s="22"/>
      <c r="G191" s="22"/>
      <c r="H191" s="22"/>
      <c r="I191" s="22"/>
      <c r="J191" s="22"/>
      <c r="K191" s="22"/>
      <c r="L191" s="22"/>
      <c r="M191" s="8">
        <f>SUM(InnovationProjectResults[[#This Row],[Explore 1]:[Communicate 2 (CV)]])</f>
        <v>0</v>
      </c>
      <c r="N191" s="21">
        <f>IF(InnovationProjectResults[[#This Row],[Team Number]]&gt;0,MIN(_xlfn.RANK.EQ(InnovationProjectResults[[#This Row],[Innovation Project Score]],InnovationProjectResults[Innovation Project Score],0),NumberOfTeams),NumberOfTeams+1)</f>
        <v>9</v>
      </c>
    </row>
    <row r="192" spans="1:14" ht="30" customHeight="1" x14ac:dyDescent="0.25">
      <c r="A192" s="8">
        <f>_xlfn.XLOOKUP(191,OfficialTeamList[Row],OfficialTeamList[Team Number],"ERROR",0)</f>
        <v>0</v>
      </c>
      <c r="B192" s="20" t="str">
        <f>_xlfn.XLOOKUP(InnovationProjectResults[[#This Row],[Team Number]],OfficialTeamList[Team Number],OfficialTeamList[Team Name],"",0,)</f>
        <v/>
      </c>
      <c r="C192" s="22"/>
      <c r="D192" s="22"/>
      <c r="E192" s="22"/>
      <c r="F192" s="22"/>
      <c r="G192" s="22"/>
      <c r="H192" s="22"/>
      <c r="I192" s="22"/>
      <c r="J192" s="22"/>
      <c r="K192" s="22"/>
      <c r="L192" s="22"/>
      <c r="M192" s="8">
        <f>SUM(InnovationProjectResults[[#This Row],[Explore 1]:[Communicate 2 (CV)]])</f>
        <v>0</v>
      </c>
      <c r="N192" s="21">
        <f>IF(InnovationProjectResults[[#This Row],[Team Number]]&gt;0,MIN(_xlfn.RANK.EQ(InnovationProjectResults[[#This Row],[Innovation Project Score]],InnovationProjectResults[Innovation Project Score],0),NumberOfTeams),NumberOfTeams+1)</f>
        <v>9</v>
      </c>
    </row>
    <row r="193" spans="1:14" ht="30" customHeight="1" x14ac:dyDescent="0.25">
      <c r="A193" s="8">
        <f>_xlfn.XLOOKUP(192,OfficialTeamList[Row],OfficialTeamList[Team Number],"ERROR",0)</f>
        <v>0</v>
      </c>
      <c r="B193" s="20" t="str">
        <f>_xlfn.XLOOKUP(InnovationProjectResults[[#This Row],[Team Number]],OfficialTeamList[Team Number],OfficialTeamList[Team Name],"",0,)</f>
        <v/>
      </c>
      <c r="C193" s="22"/>
      <c r="D193" s="22"/>
      <c r="E193" s="22"/>
      <c r="F193" s="22"/>
      <c r="G193" s="22"/>
      <c r="H193" s="22"/>
      <c r="I193" s="22"/>
      <c r="J193" s="22"/>
      <c r="K193" s="22"/>
      <c r="L193" s="22"/>
      <c r="M193" s="8">
        <f>SUM(InnovationProjectResults[[#This Row],[Explore 1]:[Communicate 2 (CV)]])</f>
        <v>0</v>
      </c>
      <c r="N193" s="21">
        <f>IF(InnovationProjectResults[[#This Row],[Team Number]]&gt;0,MIN(_xlfn.RANK.EQ(InnovationProjectResults[[#This Row],[Innovation Project Score]],InnovationProjectResults[Innovation Project Score],0),NumberOfTeams),NumberOfTeams+1)</f>
        <v>9</v>
      </c>
    </row>
    <row r="194" spans="1:14" ht="30" customHeight="1" x14ac:dyDescent="0.25">
      <c r="A194" s="8">
        <f>_xlfn.XLOOKUP(193,OfficialTeamList[Row],OfficialTeamList[Team Number],"ERROR",0)</f>
        <v>0</v>
      </c>
      <c r="B194" s="20" t="str">
        <f>_xlfn.XLOOKUP(InnovationProjectResults[[#This Row],[Team Number]],OfficialTeamList[Team Number],OfficialTeamList[Team Name],"",0,)</f>
        <v/>
      </c>
      <c r="C194" s="22"/>
      <c r="D194" s="22"/>
      <c r="E194" s="22"/>
      <c r="F194" s="22"/>
      <c r="G194" s="22"/>
      <c r="H194" s="22"/>
      <c r="I194" s="22"/>
      <c r="J194" s="22"/>
      <c r="K194" s="22"/>
      <c r="L194" s="22"/>
      <c r="M194" s="8">
        <f>SUM(InnovationProjectResults[[#This Row],[Explore 1]:[Communicate 2 (CV)]])</f>
        <v>0</v>
      </c>
      <c r="N194" s="21">
        <f>IF(InnovationProjectResults[[#This Row],[Team Number]]&gt;0,MIN(_xlfn.RANK.EQ(InnovationProjectResults[[#This Row],[Innovation Project Score]],InnovationProjectResults[Innovation Project Score],0),NumberOfTeams),NumberOfTeams+1)</f>
        <v>9</v>
      </c>
    </row>
    <row r="195" spans="1:14" ht="30" customHeight="1" x14ac:dyDescent="0.25">
      <c r="A195" s="8">
        <f>_xlfn.XLOOKUP(194,OfficialTeamList[Row],OfficialTeamList[Team Number],"ERROR",0)</f>
        <v>0</v>
      </c>
      <c r="B195" s="20" t="str">
        <f>_xlfn.XLOOKUP(InnovationProjectResults[[#This Row],[Team Number]],OfficialTeamList[Team Number],OfficialTeamList[Team Name],"",0,)</f>
        <v/>
      </c>
      <c r="C195" s="22"/>
      <c r="D195" s="22"/>
      <c r="E195" s="22"/>
      <c r="F195" s="22"/>
      <c r="G195" s="22"/>
      <c r="H195" s="22"/>
      <c r="I195" s="22"/>
      <c r="J195" s="22"/>
      <c r="K195" s="22"/>
      <c r="L195" s="22"/>
      <c r="M195" s="8">
        <f>SUM(InnovationProjectResults[[#This Row],[Explore 1]:[Communicate 2 (CV)]])</f>
        <v>0</v>
      </c>
      <c r="N195" s="21">
        <f>IF(InnovationProjectResults[[#This Row],[Team Number]]&gt;0,MIN(_xlfn.RANK.EQ(InnovationProjectResults[[#This Row],[Innovation Project Score]],InnovationProjectResults[Innovation Project Score],0),NumberOfTeams),NumberOfTeams+1)</f>
        <v>9</v>
      </c>
    </row>
    <row r="196" spans="1:14" ht="30" customHeight="1" x14ac:dyDescent="0.25">
      <c r="A196" s="8">
        <f>_xlfn.XLOOKUP(195,OfficialTeamList[Row],OfficialTeamList[Team Number],"ERROR",0)</f>
        <v>0</v>
      </c>
      <c r="B196" s="20" t="str">
        <f>_xlfn.XLOOKUP(InnovationProjectResults[[#This Row],[Team Number]],OfficialTeamList[Team Number],OfficialTeamList[Team Name],"",0,)</f>
        <v/>
      </c>
      <c r="C196" s="22"/>
      <c r="D196" s="22"/>
      <c r="E196" s="22"/>
      <c r="F196" s="22"/>
      <c r="G196" s="22"/>
      <c r="H196" s="22"/>
      <c r="I196" s="22"/>
      <c r="J196" s="22"/>
      <c r="K196" s="22"/>
      <c r="L196" s="22"/>
      <c r="M196" s="8">
        <f>SUM(InnovationProjectResults[[#This Row],[Explore 1]:[Communicate 2 (CV)]])</f>
        <v>0</v>
      </c>
      <c r="N196" s="21">
        <f>IF(InnovationProjectResults[[#This Row],[Team Number]]&gt;0,MIN(_xlfn.RANK.EQ(InnovationProjectResults[[#This Row],[Innovation Project Score]],InnovationProjectResults[Innovation Project Score],0),NumberOfTeams),NumberOfTeams+1)</f>
        <v>9</v>
      </c>
    </row>
    <row r="197" spans="1:14" ht="30" customHeight="1" x14ac:dyDescent="0.25">
      <c r="A197" s="8">
        <f>_xlfn.XLOOKUP(196,OfficialTeamList[Row],OfficialTeamList[Team Number],"ERROR",0)</f>
        <v>0</v>
      </c>
      <c r="B197" s="20" t="str">
        <f>_xlfn.XLOOKUP(InnovationProjectResults[[#This Row],[Team Number]],OfficialTeamList[Team Number],OfficialTeamList[Team Name],"",0,)</f>
        <v/>
      </c>
      <c r="C197" s="22"/>
      <c r="D197" s="22"/>
      <c r="E197" s="22"/>
      <c r="F197" s="22"/>
      <c r="G197" s="22"/>
      <c r="H197" s="22"/>
      <c r="I197" s="22"/>
      <c r="J197" s="22"/>
      <c r="K197" s="22"/>
      <c r="L197" s="22"/>
      <c r="M197" s="8">
        <f>SUM(InnovationProjectResults[[#This Row],[Explore 1]:[Communicate 2 (CV)]])</f>
        <v>0</v>
      </c>
      <c r="N197" s="21">
        <f>IF(InnovationProjectResults[[#This Row],[Team Number]]&gt;0,MIN(_xlfn.RANK.EQ(InnovationProjectResults[[#This Row],[Innovation Project Score]],InnovationProjectResults[Innovation Project Score],0),NumberOfTeams),NumberOfTeams+1)</f>
        <v>9</v>
      </c>
    </row>
    <row r="198" spans="1:14" ht="30" customHeight="1" x14ac:dyDescent="0.25">
      <c r="A198" s="8">
        <f>_xlfn.XLOOKUP(197,OfficialTeamList[Row],OfficialTeamList[Team Number],"ERROR",0)</f>
        <v>0</v>
      </c>
      <c r="B198" s="20" t="str">
        <f>_xlfn.XLOOKUP(InnovationProjectResults[[#This Row],[Team Number]],OfficialTeamList[Team Number],OfficialTeamList[Team Name],"",0,)</f>
        <v/>
      </c>
      <c r="C198" s="22"/>
      <c r="D198" s="22"/>
      <c r="E198" s="22"/>
      <c r="F198" s="22"/>
      <c r="G198" s="22"/>
      <c r="H198" s="22"/>
      <c r="I198" s="22"/>
      <c r="J198" s="22"/>
      <c r="K198" s="22"/>
      <c r="L198" s="22"/>
      <c r="M198" s="8">
        <f>SUM(InnovationProjectResults[[#This Row],[Explore 1]:[Communicate 2 (CV)]])</f>
        <v>0</v>
      </c>
      <c r="N198" s="21">
        <f>IF(InnovationProjectResults[[#This Row],[Team Number]]&gt;0,MIN(_xlfn.RANK.EQ(InnovationProjectResults[[#This Row],[Innovation Project Score]],InnovationProjectResults[Innovation Project Score],0),NumberOfTeams),NumberOfTeams+1)</f>
        <v>9</v>
      </c>
    </row>
    <row r="199" spans="1:14" ht="30" customHeight="1" x14ac:dyDescent="0.25">
      <c r="A199" s="8">
        <f>_xlfn.XLOOKUP(198,OfficialTeamList[Row],OfficialTeamList[Team Number],"ERROR",0)</f>
        <v>0</v>
      </c>
      <c r="B199" s="20" t="str">
        <f>_xlfn.XLOOKUP(InnovationProjectResults[[#This Row],[Team Number]],OfficialTeamList[Team Number],OfficialTeamList[Team Name],"",0,)</f>
        <v/>
      </c>
      <c r="C199" s="22"/>
      <c r="D199" s="22"/>
      <c r="E199" s="22"/>
      <c r="F199" s="22"/>
      <c r="G199" s="22"/>
      <c r="H199" s="22"/>
      <c r="I199" s="22"/>
      <c r="J199" s="22"/>
      <c r="K199" s="22"/>
      <c r="L199" s="22"/>
      <c r="M199" s="8">
        <f>SUM(InnovationProjectResults[[#This Row],[Explore 1]:[Communicate 2 (CV)]])</f>
        <v>0</v>
      </c>
      <c r="N199" s="21">
        <f>IF(InnovationProjectResults[[#This Row],[Team Number]]&gt;0,MIN(_xlfn.RANK.EQ(InnovationProjectResults[[#This Row],[Innovation Project Score]],InnovationProjectResults[Innovation Project Score],0),NumberOfTeams),NumberOfTeams+1)</f>
        <v>9</v>
      </c>
    </row>
    <row r="200" spans="1:14" ht="30" customHeight="1" x14ac:dyDescent="0.25">
      <c r="A200" s="8">
        <f>_xlfn.XLOOKUP(199,OfficialTeamList[Row],OfficialTeamList[Team Number],"ERROR",0)</f>
        <v>0</v>
      </c>
      <c r="B200" s="20" t="str">
        <f>_xlfn.XLOOKUP(InnovationProjectResults[[#This Row],[Team Number]],OfficialTeamList[Team Number],OfficialTeamList[Team Name],"",0,)</f>
        <v/>
      </c>
      <c r="C200" s="22"/>
      <c r="D200" s="22"/>
      <c r="E200" s="22"/>
      <c r="F200" s="22"/>
      <c r="G200" s="22"/>
      <c r="H200" s="22"/>
      <c r="I200" s="22"/>
      <c r="J200" s="22"/>
      <c r="K200" s="22"/>
      <c r="L200" s="22"/>
      <c r="M200" s="8">
        <f>SUM(InnovationProjectResults[[#This Row],[Explore 1]:[Communicate 2 (CV)]])</f>
        <v>0</v>
      </c>
      <c r="N200" s="21">
        <f>IF(InnovationProjectResults[[#This Row],[Team Number]]&gt;0,MIN(_xlfn.RANK.EQ(InnovationProjectResults[[#This Row],[Innovation Project Score]],InnovationProjectResults[Innovation Project Score],0),NumberOfTeams),NumberOfTeams+1)</f>
        <v>9</v>
      </c>
    </row>
    <row r="201" spans="1:14" ht="30" customHeight="1" x14ac:dyDescent="0.25">
      <c r="A201" s="8">
        <f>_xlfn.XLOOKUP(200,OfficialTeamList[Row],OfficialTeamList[Team Number],"ERROR",0)</f>
        <v>0</v>
      </c>
      <c r="B201" s="20" t="str">
        <f>_xlfn.XLOOKUP(InnovationProjectResults[[#This Row],[Team Number]],OfficialTeamList[Team Number],OfficialTeamList[Team Name],"",0,)</f>
        <v/>
      </c>
      <c r="C201" s="22"/>
      <c r="D201" s="22"/>
      <c r="E201" s="22"/>
      <c r="F201" s="22"/>
      <c r="G201" s="22"/>
      <c r="H201" s="22"/>
      <c r="I201" s="22"/>
      <c r="J201" s="22"/>
      <c r="K201" s="22"/>
      <c r="L201" s="22"/>
      <c r="M201" s="8">
        <f>SUM(InnovationProjectResults[[#This Row],[Explore 1]:[Communicate 2 (CV)]])</f>
        <v>0</v>
      </c>
      <c r="N201" s="21">
        <f>IF(InnovationProjectResults[[#This Row],[Team Number]]&gt;0,MIN(_xlfn.RANK.EQ(InnovationProjectResults[[#This Row],[Innovation Project Score]],InnovationProjectResults[Innovation Project Score],0),NumberOfTeams),NumberOfTeams+1)</f>
        <v>9</v>
      </c>
    </row>
  </sheetData>
  <sheetProtection algorithmName="SHA-512" hashValue="XtrH4uAZ13uDs0Sy1A1Ard9gymTxjY9SnlXkuQkJA1o3wA4F/flkYKtJm13VeKWSky/D7XTrN4fc/B+YIpN6Rw==" saltValue="YpN7HBKND64TQypKe2bbpA==" spinCount="100000" sheet="1" objects="1" scenarios="1"/>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9BEDD-0C03-4817-ACAD-DEA7E43D07F3}">
  <sheetPr>
    <tabColor rgb="FFFFC000"/>
  </sheetPr>
  <dimension ref="A1:N201"/>
  <sheetViews>
    <sheetView showGridLines="0" workbookViewId="0">
      <selection activeCell="G11" sqref="G11"/>
    </sheetView>
  </sheetViews>
  <sheetFormatPr defaultRowHeight="15" x14ac:dyDescent="0.25"/>
  <cols>
    <col min="1" max="1" width="15.42578125" customWidth="1"/>
    <col min="2" max="2" width="32.42578125" customWidth="1"/>
    <col min="3" max="12" width="7.42578125" customWidth="1"/>
    <col min="13" max="13" width="10.42578125" customWidth="1"/>
    <col min="14" max="14" width="15.42578125" customWidth="1"/>
  </cols>
  <sheetData>
    <row r="1" spans="1:14" ht="169.9" customHeight="1" x14ac:dyDescent="0.25">
      <c r="A1" s="67" t="s">
        <v>12</v>
      </c>
      <c r="B1" s="65" t="s">
        <v>13</v>
      </c>
      <c r="C1" s="69" t="s">
        <v>115</v>
      </c>
      <c r="D1" s="69" t="s">
        <v>116</v>
      </c>
      <c r="E1" s="69" t="s">
        <v>117</v>
      </c>
      <c r="F1" s="69" t="s">
        <v>118</v>
      </c>
      <c r="G1" s="69" t="s">
        <v>119</v>
      </c>
      <c r="H1" s="69" t="s">
        <v>120</v>
      </c>
      <c r="I1" s="69" t="s">
        <v>121</v>
      </c>
      <c r="J1" s="69" t="s">
        <v>122</v>
      </c>
      <c r="K1" s="69" t="s">
        <v>123</v>
      </c>
      <c r="L1" s="69" t="s">
        <v>124</v>
      </c>
      <c r="M1" s="68" t="s">
        <v>113</v>
      </c>
      <c r="N1" s="68" t="s">
        <v>114</v>
      </c>
    </row>
    <row r="2" spans="1:14" ht="30" customHeight="1" x14ac:dyDescent="0.25">
      <c r="A2" s="8">
        <f>(_xlfn.XLOOKUP(1,OfficialTeamList[Row],OfficialTeamList[Team Number],"ERROR",0))+0</f>
        <v>1234</v>
      </c>
      <c r="B2" s="20" t="str">
        <f>_xlfn.XLOOKUP(RobotDesignResults[[#This Row],[Team Number]],OfficialTeamList[Team Number],OfficialTeamList[Team Name],"",0,)</f>
        <v>Team 1</v>
      </c>
      <c r="C2" s="12">
        <v>1</v>
      </c>
      <c r="D2" s="12">
        <v>2</v>
      </c>
      <c r="E2" s="12">
        <v>3</v>
      </c>
      <c r="F2" s="12">
        <v>4</v>
      </c>
      <c r="G2" s="12">
        <v>5</v>
      </c>
      <c r="H2" s="12">
        <v>6</v>
      </c>
      <c r="I2" s="12">
        <v>7</v>
      </c>
      <c r="J2" s="12">
        <v>8</v>
      </c>
      <c r="K2" s="12">
        <v>9</v>
      </c>
      <c r="L2" s="12">
        <v>10</v>
      </c>
      <c r="M2" s="8">
        <f>SUM(RobotDesignResults[[#This Row],[Identify 1]:[Communicate 2 (CV)]])</f>
        <v>55</v>
      </c>
      <c r="N2" s="21">
        <f>IF(RobotDesignResults[[#This Row],[Team Number]]&gt;0,MIN(_xlfn.RANK.EQ(RobotDesignResults[[#This Row],[Engineering Design Score]],RobotDesignResults[Engineering Design Score],0),NumberOfTeams),NumberOfTeams+1)</f>
        <v>1</v>
      </c>
    </row>
    <row r="3" spans="1:14" ht="30" customHeight="1" x14ac:dyDescent="0.25">
      <c r="A3" s="8">
        <f>(_xlfn.XLOOKUP(2,OfficialTeamList[Row],OfficialTeamList[Team Number],"ERROR",0))+0</f>
        <v>2345</v>
      </c>
      <c r="B3" s="20" t="str">
        <f>_xlfn.XLOOKUP(RobotDesignResults[[#This Row],[Team Number]],OfficialTeamList[Team Number],OfficialTeamList[Team Name],"",0,)</f>
        <v>Team 2</v>
      </c>
      <c r="C3" s="12">
        <v>4</v>
      </c>
      <c r="D3" s="12">
        <v>2</v>
      </c>
      <c r="E3" s="12">
        <v>2</v>
      </c>
      <c r="F3" s="12">
        <v>4</v>
      </c>
      <c r="G3" s="12">
        <v>2</v>
      </c>
      <c r="H3" s="12">
        <v>2</v>
      </c>
      <c r="I3" s="12">
        <v>4</v>
      </c>
      <c r="J3" s="12">
        <v>2</v>
      </c>
      <c r="K3" s="12">
        <v>2</v>
      </c>
      <c r="L3" s="12">
        <v>2</v>
      </c>
      <c r="M3" s="8">
        <f>SUM(RobotDesignResults[[#This Row],[Identify 1]:[Communicate 2 (CV)]])</f>
        <v>26</v>
      </c>
      <c r="N3" s="21">
        <f>IF(RobotDesignResults[[#This Row],[Team Number]]&gt;0,MIN(_xlfn.RANK.EQ(RobotDesignResults[[#This Row],[Engineering Design Score]],RobotDesignResults[Engineering Design Score],0),NumberOfTeams),NumberOfTeams+1)</f>
        <v>5</v>
      </c>
    </row>
    <row r="4" spans="1:14" ht="30" customHeight="1" x14ac:dyDescent="0.25">
      <c r="A4" s="8">
        <f>(_xlfn.XLOOKUP(3,OfficialTeamList[Row],OfficialTeamList[Team Number],"ERROR",0))+0</f>
        <v>3456</v>
      </c>
      <c r="B4" s="20" t="str">
        <f>_xlfn.XLOOKUP(RobotDesignResults[[#This Row],[Team Number]],OfficialTeamList[Team Number],OfficialTeamList[Team Name],"",0,)</f>
        <v>Team 3</v>
      </c>
      <c r="C4" s="12">
        <v>3</v>
      </c>
      <c r="D4" s="12">
        <v>3</v>
      </c>
      <c r="E4" s="12">
        <v>3</v>
      </c>
      <c r="F4" s="12">
        <v>3</v>
      </c>
      <c r="G4" s="12">
        <v>3</v>
      </c>
      <c r="H4" s="12">
        <v>3</v>
      </c>
      <c r="I4" s="12">
        <v>3</v>
      </c>
      <c r="J4" s="12">
        <v>3</v>
      </c>
      <c r="K4" s="12">
        <v>3</v>
      </c>
      <c r="L4" s="12">
        <v>3</v>
      </c>
      <c r="M4" s="8">
        <f>SUM(RobotDesignResults[[#This Row],[Identify 1]:[Communicate 2 (CV)]])</f>
        <v>30</v>
      </c>
      <c r="N4" s="21">
        <f>IF(RobotDesignResults[[#This Row],[Team Number]]&gt;0,MIN(_xlfn.RANK.EQ(RobotDesignResults[[#This Row],[Engineering Design Score]],RobotDesignResults[Engineering Design Score],0),NumberOfTeams),NumberOfTeams+1)</f>
        <v>4</v>
      </c>
    </row>
    <row r="5" spans="1:14" ht="30" customHeight="1" x14ac:dyDescent="0.25">
      <c r="A5" s="8">
        <f>_xlfn.XLOOKUP(4,OfficialTeamList[Row],OfficialTeamList[Team Number],"ERROR",0)</f>
        <v>235</v>
      </c>
      <c r="B5" s="20" t="str">
        <f>_xlfn.XLOOKUP(RobotDesignResults[[#This Row],[Team Number]],OfficialTeamList[Team Number],OfficialTeamList[Team Name],"",0,)</f>
        <v>Team 4</v>
      </c>
      <c r="C5" s="12">
        <v>4</v>
      </c>
      <c r="D5" s="12">
        <v>4</v>
      </c>
      <c r="E5" s="12">
        <v>4</v>
      </c>
      <c r="F5" s="12">
        <v>4</v>
      </c>
      <c r="G5" s="12">
        <v>4</v>
      </c>
      <c r="H5" s="12">
        <v>4</v>
      </c>
      <c r="I5" s="12">
        <v>4</v>
      </c>
      <c r="J5" s="12">
        <v>4</v>
      </c>
      <c r="K5" s="12">
        <v>4</v>
      </c>
      <c r="L5" s="12">
        <v>4</v>
      </c>
      <c r="M5" s="8">
        <f>SUM(RobotDesignResults[[#This Row],[Identify 1]:[Communicate 2 (CV)]])</f>
        <v>40</v>
      </c>
      <c r="N5" s="21">
        <f>IF(RobotDesignResults[[#This Row],[Team Number]]&gt;0,MIN(_xlfn.RANK.EQ(RobotDesignResults[[#This Row],[Engineering Design Score]],RobotDesignResults[Engineering Design Score],0),NumberOfTeams),NumberOfTeams+1)</f>
        <v>2</v>
      </c>
    </row>
    <row r="6" spans="1:14" ht="30" customHeight="1" x14ac:dyDescent="0.25">
      <c r="A6" s="8">
        <f>_xlfn.XLOOKUP(5,OfficialTeamList[Row],OfficialTeamList[Team Number],"ERROR",0)</f>
        <v>1232</v>
      </c>
      <c r="B6" s="20" t="str">
        <f>_xlfn.XLOOKUP(RobotDesignResults[[#This Row],[Team Number]],OfficialTeamList[Team Number],OfficialTeamList[Team Name],"",0,)</f>
        <v>Team 5</v>
      </c>
      <c r="C6" s="12">
        <v>4</v>
      </c>
      <c r="D6" s="12">
        <v>2</v>
      </c>
      <c r="E6" s="12">
        <v>2</v>
      </c>
      <c r="F6" s="12">
        <v>4</v>
      </c>
      <c r="G6" s="12">
        <v>2</v>
      </c>
      <c r="H6" s="12">
        <v>2</v>
      </c>
      <c r="I6" s="12">
        <v>4</v>
      </c>
      <c r="J6" s="12">
        <v>2</v>
      </c>
      <c r="K6" s="12">
        <v>2</v>
      </c>
      <c r="L6" s="12">
        <v>2</v>
      </c>
      <c r="M6" s="8">
        <f>SUM(RobotDesignResults[[#This Row],[Identify 1]:[Communicate 2 (CV)]])</f>
        <v>26</v>
      </c>
      <c r="N6" s="21">
        <f>IF(RobotDesignResults[[#This Row],[Team Number]]&gt;0,MIN(_xlfn.RANK.EQ(RobotDesignResults[[#This Row],[Engineering Design Score]],RobotDesignResults[Engineering Design Score],0),NumberOfTeams),NumberOfTeams+1)</f>
        <v>5</v>
      </c>
    </row>
    <row r="7" spans="1:14" ht="30" customHeight="1" x14ac:dyDescent="0.25">
      <c r="A7" s="8">
        <f>_xlfn.XLOOKUP(6,OfficialTeamList[Row],OfficialTeamList[Team Number],"ERROR",0)</f>
        <v>6262</v>
      </c>
      <c r="B7" s="20" t="str">
        <f>_xlfn.XLOOKUP(RobotDesignResults[[#This Row],[Team Number]],OfficialTeamList[Team Number],OfficialTeamList[Team Name],"",0,)</f>
        <v>Team 6</v>
      </c>
      <c r="C7" s="12">
        <v>3</v>
      </c>
      <c r="D7" s="12">
        <v>3</v>
      </c>
      <c r="E7" s="12">
        <v>1</v>
      </c>
      <c r="F7" s="12">
        <v>3</v>
      </c>
      <c r="G7" s="12">
        <v>3</v>
      </c>
      <c r="H7" s="12">
        <v>1</v>
      </c>
      <c r="I7" s="12">
        <v>3</v>
      </c>
      <c r="J7" s="12">
        <v>3</v>
      </c>
      <c r="K7" s="12">
        <v>1</v>
      </c>
      <c r="L7" s="12">
        <v>3</v>
      </c>
      <c r="M7" s="8">
        <f>SUM(RobotDesignResults[[#This Row],[Identify 1]:[Communicate 2 (CV)]])</f>
        <v>24</v>
      </c>
      <c r="N7" s="21">
        <f>IF(RobotDesignResults[[#This Row],[Team Number]]&gt;0,MIN(_xlfn.RANK.EQ(RobotDesignResults[[#This Row],[Engineering Design Score]],RobotDesignResults[Engineering Design Score],0),NumberOfTeams),NumberOfTeams+1)</f>
        <v>7</v>
      </c>
    </row>
    <row r="8" spans="1:14" ht="30" customHeight="1" x14ac:dyDescent="0.25">
      <c r="A8" s="8">
        <f>_xlfn.XLOOKUP(7,OfficialTeamList[Row],OfficialTeamList[Team Number],"ERROR",0)</f>
        <v>46844</v>
      </c>
      <c r="B8" s="20" t="str">
        <f>_xlfn.XLOOKUP(RobotDesignResults[[#This Row],[Team Number]],OfficialTeamList[Team Number],OfficialTeamList[Team Name],"",0,)</f>
        <v>Team 7</v>
      </c>
      <c r="C8" s="12">
        <v>3</v>
      </c>
      <c r="D8" s="12">
        <v>4</v>
      </c>
      <c r="E8" s="12">
        <v>2</v>
      </c>
      <c r="F8" s="12">
        <v>3</v>
      </c>
      <c r="G8" s="12">
        <v>4</v>
      </c>
      <c r="H8" s="12">
        <v>2</v>
      </c>
      <c r="I8" s="12">
        <v>3</v>
      </c>
      <c r="J8" s="12">
        <v>4</v>
      </c>
      <c r="K8" s="12">
        <v>2</v>
      </c>
      <c r="L8" s="12">
        <v>4</v>
      </c>
      <c r="M8" s="8">
        <f>SUM(RobotDesignResults[[#This Row],[Identify 1]:[Communicate 2 (CV)]])</f>
        <v>31</v>
      </c>
      <c r="N8" s="21">
        <f>IF(RobotDesignResults[[#This Row],[Team Number]]&gt;0,MIN(_xlfn.RANK.EQ(RobotDesignResults[[#This Row],[Engineering Design Score]],RobotDesignResults[Engineering Design Score],0),NumberOfTeams),NumberOfTeams+1)</f>
        <v>3</v>
      </c>
    </row>
    <row r="9" spans="1:14" ht="30" customHeight="1" x14ac:dyDescent="0.25">
      <c r="A9" s="8">
        <f>_xlfn.XLOOKUP(8,OfficialTeamList[Row],OfficialTeamList[Team Number],"ERROR",0)</f>
        <v>26466</v>
      </c>
      <c r="B9" s="20" t="str">
        <f>_xlfn.XLOOKUP(RobotDesignResults[[#This Row],[Team Number]],OfficialTeamList[Team Number],OfficialTeamList[Team Name],"",0,)</f>
        <v>Team 8</v>
      </c>
      <c r="C9" s="12">
        <v>2</v>
      </c>
      <c r="D9" s="12">
        <v>1</v>
      </c>
      <c r="E9" s="12">
        <v>4</v>
      </c>
      <c r="F9" s="12">
        <v>2</v>
      </c>
      <c r="G9" s="12">
        <v>1</v>
      </c>
      <c r="H9" s="12">
        <v>4</v>
      </c>
      <c r="I9" s="12">
        <v>2</v>
      </c>
      <c r="J9" s="12">
        <v>1</v>
      </c>
      <c r="K9" s="12">
        <v>4</v>
      </c>
      <c r="L9" s="12">
        <v>1</v>
      </c>
      <c r="M9" s="8">
        <f>SUM(RobotDesignResults[[#This Row],[Identify 1]:[Communicate 2 (CV)]])</f>
        <v>22</v>
      </c>
      <c r="N9" s="21">
        <f>IF(RobotDesignResults[[#This Row],[Team Number]]&gt;0,MIN(_xlfn.RANK.EQ(RobotDesignResults[[#This Row],[Engineering Design Score]],RobotDesignResults[Engineering Design Score],0),NumberOfTeams),NumberOfTeams+1)</f>
        <v>8</v>
      </c>
    </row>
    <row r="10" spans="1:14" ht="30" customHeight="1" x14ac:dyDescent="0.25">
      <c r="A10" s="8">
        <f>_xlfn.XLOOKUP(9,OfficialTeamList[Row],OfficialTeamList[Team Number],"ERROR",0)</f>
        <v>0</v>
      </c>
      <c r="B10" s="20" t="str">
        <f>_xlfn.XLOOKUP(RobotDesignResults[[#This Row],[Team Number]],OfficialTeamList[Team Number],OfficialTeamList[Team Name],"",0,)</f>
        <v/>
      </c>
      <c r="C10" s="12"/>
      <c r="D10" s="12"/>
      <c r="E10" s="12"/>
      <c r="F10" s="12"/>
      <c r="G10" s="12"/>
      <c r="H10" s="12"/>
      <c r="I10" s="12"/>
      <c r="J10" s="12"/>
      <c r="K10" s="12"/>
      <c r="L10" s="12"/>
      <c r="M10" s="8">
        <f>SUM(RobotDesignResults[[#This Row],[Identify 1]:[Communicate 2 (CV)]])</f>
        <v>0</v>
      </c>
      <c r="N10" s="21">
        <f>IF(RobotDesignResults[[#This Row],[Team Number]]&gt;0,MIN(_xlfn.RANK.EQ(RobotDesignResults[[#This Row],[Engineering Design Score]],RobotDesignResults[Engineering Design Score],0),NumberOfTeams),NumberOfTeams+1)</f>
        <v>9</v>
      </c>
    </row>
    <row r="11" spans="1:14" ht="30" customHeight="1" x14ac:dyDescent="0.25">
      <c r="A11" s="8">
        <f>_xlfn.XLOOKUP(10,OfficialTeamList[Row],OfficialTeamList[Team Number],"ERROR",0)</f>
        <v>0</v>
      </c>
      <c r="B11" s="20" t="str">
        <f>_xlfn.XLOOKUP(RobotDesignResults[[#This Row],[Team Number]],OfficialTeamList[Team Number],OfficialTeamList[Team Name],"",0,)</f>
        <v/>
      </c>
      <c r="C11" s="12"/>
      <c r="D11" s="12"/>
      <c r="E11" s="12"/>
      <c r="F11" s="12"/>
      <c r="G11" s="12"/>
      <c r="H11" s="12"/>
      <c r="I11" s="12"/>
      <c r="J11" s="12"/>
      <c r="K11" s="12"/>
      <c r="L11" s="12"/>
      <c r="M11" s="8">
        <f>SUM(RobotDesignResults[[#This Row],[Identify 1]:[Communicate 2 (CV)]])</f>
        <v>0</v>
      </c>
      <c r="N11" s="21">
        <f>IF(RobotDesignResults[[#This Row],[Team Number]]&gt;0,MIN(_xlfn.RANK.EQ(RobotDesignResults[[#This Row],[Engineering Design Score]],RobotDesignResults[Engineering Design Score],0),NumberOfTeams),NumberOfTeams+1)</f>
        <v>9</v>
      </c>
    </row>
    <row r="12" spans="1:14" ht="30" customHeight="1" x14ac:dyDescent="0.25">
      <c r="A12" s="8">
        <f>_xlfn.XLOOKUP(11,OfficialTeamList[Row],OfficialTeamList[Team Number],"ERROR",0)</f>
        <v>0</v>
      </c>
      <c r="B12" s="20" t="str">
        <f>_xlfn.XLOOKUP(RobotDesignResults[[#This Row],[Team Number]],OfficialTeamList[Team Number],OfficialTeamList[Team Name],"",0,)</f>
        <v/>
      </c>
      <c r="C12" s="12"/>
      <c r="D12" s="12"/>
      <c r="E12" s="12"/>
      <c r="F12" s="12"/>
      <c r="G12" s="12"/>
      <c r="H12" s="12"/>
      <c r="I12" s="12"/>
      <c r="J12" s="12"/>
      <c r="K12" s="12"/>
      <c r="L12" s="12"/>
      <c r="M12" s="8">
        <f>SUM(RobotDesignResults[[#This Row],[Identify 1]:[Communicate 2 (CV)]])</f>
        <v>0</v>
      </c>
      <c r="N12" s="21">
        <f>IF(RobotDesignResults[[#This Row],[Team Number]]&gt;0,MIN(_xlfn.RANK.EQ(RobotDesignResults[[#This Row],[Engineering Design Score]],RobotDesignResults[Engineering Design Score],0),NumberOfTeams),NumberOfTeams+1)</f>
        <v>9</v>
      </c>
    </row>
    <row r="13" spans="1:14" ht="30" customHeight="1" x14ac:dyDescent="0.25">
      <c r="A13" s="8">
        <f>_xlfn.XLOOKUP(12,OfficialTeamList[Row],OfficialTeamList[Team Number],"ERROR",0)</f>
        <v>0</v>
      </c>
      <c r="B13" s="20" t="str">
        <f>_xlfn.XLOOKUP(RobotDesignResults[[#This Row],[Team Number]],OfficialTeamList[Team Number],OfficialTeamList[Team Name],"",0,)</f>
        <v/>
      </c>
      <c r="C13" s="12"/>
      <c r="D13" s="12"/>
      <c r="E13" s="12"/>
      <c r="F13" s="12"/>
      <c r="G13" s="12"/>
      <c r="H13" s="12"/>
      <c r="I13" s="12"/>
      <c r="J13" s="12"/>
      <c r="K13" s="12"/>
      <c r="L13" s="12"/>
      <c r="M13" s="8">
        <f>SUM(RobotDesignResults[[#This Row],[Identify 1]:[Communicate 2 (CV)]])</f>
        <v>0</v>
      </c>
      <c r="N13" s="21">
        <f>IF(RobotDesignResults[[#This Row],[Team Number]]&gt;0,MIN(_xlfn.RANK.EQ(RobotDesignResults[[#This Row],[Engineering Design Score]],RobotDesignResults[Engineering Design Score],0),NumberOfTeams),NumberOfTeams+1)</f>
        <v>9</v>
      </c>
    </row>
    <row r="14" spans="1:14" ht="30" customHeight="1" x14ac:dyDescent="0.25">
      <c r="A14" s="8">
        <f>_xlfn.XLOOKUP(13,OfficialTeamList[Row],OfficialTeamList[Team Number],"ERROR",0)</f>
        <v>0</v>
      </c>
      <c r="B14" s="20" t="str">
        <f>_xlfn.XLOOKUP(RobotDesignResults[[#This Row],[Team Number]],OfficialTeamList[Team Number],OfficialTeamList[Team Name],"",0,)</f>
        <v/>
      </c>
      <c r="C14" s="12"/>
      <c r="D14" s="12"/>
      <c r="E14" s="12"/>
      <c r="F14" s="12"/>
      <c r="G14" s="12"/>
      <c r="H14" s="12"/>
      <c r="I14" s="12"/>
      <c r="J14" s="12"/>
      <c r="K14" s="12"/>
      <c r="L14" s="12"/>
      <c r="M14" s="8">
        <f>SUM(RobotDesignResults[[#This Row],[Identify 1]:[Communicate 2 (CV)]])</f>
        <v>0</v>
      </c>
      <c r="N14" s="21">
        <f>IF(RobotDesignResults[[#This Row],[Team Number]]&gt;0,MIN(_xlfn.RANK.EQ(RobotDesignResults[[#This Row],[Engineering Design Score]],RobotDesignResults[Engineering Design Score],0),NumberOfTeams),NumberOfTeams+1)</f>
        <v>9</v>
      </c>
    </row>
    <row r="15" spans="1:14" ht="30" customHeight="1" x14ac:dyDescent="0.25">
      <c r="A15" s="8">
        <f>_xlfn.XLOOKUP(14,OfficialTeamList[Row],OfficialTeamList[Team Number],"ERROR",0)</f>
        <v>0</v>
      </c>
      <c r="B15" s="20" t="str">
        <f>_xlfn.XLOOKUP(RobotDesignResults[[#This Row],[Team Number]],OfficialTeamList[Team Number],OfficialTeamList[Team Name],"",0,)</f>
        <v/>
      </c>
      <c r="C15" s="12"/>
      <c r="D15" s="12"/>
      <c r="E15" s="12"/>
      <c r="F15" s="12"/>
      <c r="G15" s="12"/>
      <c r="H15" s="12"/>
      <c r="I15" s="12"/>
      <c r="J15" s="12"/>
      <c r="K15" s="12"/>
      <c r="L15" s="12"/>
      <c r="M15" s="8">
        <f>SUM(RobotDesignResults[[#This Row],[Identify 1]:[Communicate 2 (CV)]])</f>
        <v>0</v>
      </c>
      <c r="N15" s="21">
        <f>IF(RobotDesignResults[[#This Row],[Team Number]]&gt;0,MIN(_xlfn.RANK.EQ(RobotDesignResults[[#This Row],[Engineering Design Score]],RobotDesignResults[Engineering Design Score],0),NumberOfTeams),NumberOfTeams+1)</f>
        <v>9</v>
      </c>
    </row>
    <row r="16" spans="1:14" ht="30" customHeight="1" x14ac:dyDescent="0.25">
      <c r="A16" s="8">
        <f>_xlfn.XLOOKUP(15,OfficialTeamList[Row],OfficialTeamList[Team Number],"ERROR",0)</f>
        <v>0</v>
      </c>
      <c r="B16" s="20" t="str">
        <f>_xlfn.XLOOKUP(RobotDesignResults[[#This Row],[Team Number]],OfficialTeamList[Team Number],OfficialTeamList[Team Name],"",0,)</f>
        <v/>
      </c>
      <c r="C16" s="12"/>
      <c r="D16" s="12"/>
      <c r="E16" s="12"/>
      <c r="F16" s="12"/>
      <c r="G16" s="12"/>
      <c r="H16" s="12"/>
      <c r="I16" s="12"/>
      <c r="J16" s="12"/>
      <c r="K16" s="12"/>
      <c r="L16" s="12"/>
      <c r="M16" s="8">
        <f>SUM(RobotDesignResults[[#This Row],[Identify 1]:[Communicate 2 (CV)]])</f>
        <v>0</v>
      </c>
      <c r="N16" s="21">
        <f>IF(RobotDesignResults[[#This Row],[Team Number]]&gt;0,MIN(_xlfn.RANK.EQ(RobotDesignResults[[#This Row],[Engineering Design Score]],RobotDesignResults[Engineering Design Score],0),NumberOfTeams),NumberOfTeams+1)</f>
        <v>9</v>
      </c>
    </row>
    <row r="17" spans="1:14" ht="30" customHeight="1" x14ac:dyDescent="0.25">
      <c r="A17" s="8">
        <f>_xlfn.XLOOKUP(16,OfficialTeamList[Row],OfficialTeamList[Team Number],"ERROR",0)</f>
        <v>0</v>
      </c>
      <c r="B17" s="20" t="str">
        <f>_xlfn.XLOOKUP(RobotDesignResults[[#This Row],[Team Number]],OfficialTeamList[Team Number],OfficialTeamList[Team Name],"",0,)</f>
        <v/>
      </c>
      <c r="C17" s="12"/>
      <c r="D17" s="12"/>
      <c r="E17" s="12"/>
      <c r="F17" s="12"/>
      <c r="G17" s="12"/>
      <c r="H17" s="12"/>
      <c r="I17" s="12"/>
      <c r="J17" s="12"/>
      <c r="K17" s="12"/>
      <c r="L17" s="12"/>
      <c r="M17" s="8">
        <f>SUM(RobotDesignResults[[#This Row],[Identify 1]:[Communicate 2 (CV)]])</f>
        <v>0</v>
      </c>
      <c r="N17" s="21">
        <f>IF(RobotDesignResults[[#This Row],[Team Number]]&gt;0,MIN(_xlfn.RANK.EQ(RobotDesignResults[[#This Row],[Engineering Design Score]],RobotDesignResults[Engineering Design Score],0),NumberOfTeams),NumberOfTeams+1)</f>
        <v>9</v>
      </c>
    </row>
    <row r="18" spans="1:14" ht="30" customHeight="1" x14ac:dyDescent="0.25">
      <c r="A18" s="8">
        <f>_xlfn.XLOOKUP(17,OfficialTeamList[Row],OfficialTeamList[Team Number],"ERROR",0)</f>
        <v>0</v>
      </c>
      <c r="B18" s="20" t="str">
        <f>_xlfn.XLOOKUP(RobotDesignResults[[#This Row],[Team Number]],OfficialTeamList[Team Number],OfficialTeamList[Team Name],"",0,)</f>
        <v/>
      </c>
      <c r="C18" s="12"/>
      <c r="D18" s="12"/>
      <c r="E18" s="12"/>
      <c r="F18" s="12"/>
      <c r="G18" s="12"/>
      <c r="H18" s="12"/>
      <c r="I18" s="12"/>
      <c r="J18" s="12"/>
      <c r="K18" s="12"/>
      <c r="L18" s="12"/>
      <c r="M18" s="8">
        <f>SUM(RobotDesignResults[[#This Row],[Identify 1]:[Communicate 2 (CV)]])</f>
        <v>0</v>
      </c>
      <c r="N18" s="21">
        <f>IF(RobotDesignResults[[#This Row],[Team Number]]&gt;0,MIN(_xlfn.RANK.EQ(RobotDesignResults[[#This Row],[Engineering Design Score]],RobotDesignResults[Engineering Design Score],0),NumberOfTeams),NumberOfTeams+1)</f>
        <v>9</v>
      </c>
    </row>
    <row r="19" spans="1:14" ht="30" customHeight="1" x14ac:dyDescent="0.25">
      <c r="A19" s="8">
        <f>_xlfn.XLOOKUP(18,OfficialTeamList[Row],OfficialTeamList[Team Number],"ERROR",0)</f>
        <v>0</v>
      </c>
      <c r="B19" s="20" t="str">
        <f>_xlfn.XLOOKUP(RobotDesignResults[[#This Row],[Team Number]],OfficialTeamList[Team Number],OfficialTeamList[Team Name],"",0,)</f>
        <v/>
      </c>
      <c r="C19" s="12"/>
      <c r="D19" s="12"/>
      <c r="E19" s="12"/>
      <c r="F19" s="12"/>
      <c r="G19" s="12"/>
      <c r="H19" s="12"/>
      <c r="I19" s="12"/>
      <c r="J19" s="12"/>
      <c r="K19" s="12"/>
      <c r="L19" s="12"/>
      <c r="M19" s="8">
        <f>SUM(RobotDesignResults[[#This Row],[Identify 1]:[Communicate 2 (CV)]])</f>
        <v>0</v>
      </c>
      <c r="N19" s="21">
        <f>IF(RobotDesignResults[[#This Row],[Team Number]]&gt;0,MIN(_xlfn.RANK.EQ(RobotDesignResults[[#This Row],[Engineering Design Score]],RobotDesignResults[Engineering Design Score],0),NumberOfTeams),NumberOfTeams+1)</f>
        <v>9</v>
      </c>
    </row>
    <row r="20" spans="1:14" ht="30" customHeight="1" x14ac:dyDescent="0.25">
      <c r="A20" s="8">
        <f>_xlfn.XLOOKUP(19,OfficialTeamList[Row],OfficialTeamList[Team Number],"ERROR",0)</f>
        <v>0</v>
      </c>
      <c r="B20" s="20" t="str">
        <f>_xlfn.XLOOKUP(RobotDesignResults[[#This Row],[Team Number]],OfficialTeamList[Team Number],OfficialTeamList[Team Name],"",0,)</f>
        <v/>
      </c>
      <c r="C20" s="12"/>
      <c r="D20" s="12"/>
      <c r="E20" s="12"/>
      <c r="F20" s="12"/>
      <c r="G20" s="12"/>
      <c r="H20" s="12"/>
      <c r="I20" s="12"/>
      <c r="J20" s="12"/>
      <c r="K20" s="12"/>
      <c r="L20" s="12"/>
      <c r="M20" s="8">
        <f>SUM(RobotDesignResults[[#This Row],[Identify 1]:[Communicate 2 (CV)]])</f>
        <v>0</v>
      </c>
      <c r="N20" s="21">
        <f>IF(RobotDesignResults[[#This Row],[Team Number]]&gt;0,MIN(_xlfn.RANK.EQ(RobotDesignResults[[#This Row],[Engineering Design Score]],RobotDesignResults[Engineering Design Score],0),NumberOfTeams),NumberOfTeams+1)</f>
        <v>9</v>
      </c>
    </row>
    <row r="21" spans="1:14" ht="30" customHeight="1" x14ac:dyDescent="0.25">
      <c r="A21" s="8">
        <f>_xlfn.XLOOKUP(20,OfficialTeamList[Row],OfficialTeamList[Team Number],"ERROR",0)</f>
        <v>0</v>
      </c>
      <c r="B21" s="20" t="str">
        <f>_xlfn.XLOOKUP(RobotDesignResults[[#This Row],[Team Number]],OfficialTeamList[Team Number],OfficialTeamList[Team Name],"",0,)</f>
        <v/>
      </c>
      <c r="C21" s="12"/>
      <c r="D21" s="12"/>
      <c r="E21" s="12"/>
      <c r="F21" s="12"/>
      <c r="G21" s="12"/>
      <c r="H21" s="12"/>
      <c r="I21" s="12"/>
      <c r="J21" s="12"/>
      <c r="K21" s="12"/>
      <c r="L21" s="12"/>
      <c r="M21" s="8">
        <f>SUM(RobotDesignResults[[#This Row],[Identify 1]:[Communicate 2 (CV)]])</f>
        <v>0</v>
      </c>
      <c r="N21" s="21">
        <f>IF(RobotDesignResults[[#This Row],[Team Number]]&gt;0,MIN(_xlfn.RANK.EQ(RobotDesignResults[[#This Row],[Engineering Design Score]],RobotDesignResults[Engineering Design Score],0),NumberOfTeams),NumberOfTeams+1)</f>
        <v>9</v>
      </c>
    </row>
    <row r="22" spans="1:14" ht="30" customHeight="1" x14ac:dyDescent="0.25">
      <c r="A22" s="8">
        <f>_xlfn.XLOOKUP(21,OfficialTeamList[Row],OfficialTeamList[Team Number],"ERROR",0)</f>
        <v>0</v>
      </c>
      <c r="B22" s="20" t="str">
        <f>_xlfn.XLOOKUP(RobotDesignResults[[#This Row],[Team Number]],OfficialTeamList[Team Number],OfficialTeamList[Team Name],"",0,)</f>
        <v/>
      </c>
      <c r="C22" s="12"/>
      <c r="D22" s="12"/>
      <c r="E22" s="12"/>
      <c r="F22" s="12"/>
      <c r="G22" s="12"/>
      <c r="H22" s="12"/>
      <c r="I22" s="12"/>
      <c r="J22" s="12"/>
      <c r="K22" s="12"/>
      <c r="L22" s="12"/>
      <c r="M22" s="8">
        <f>SUM(RobotDesignResults[[#This Row],[Identify 1]:[Communicate 2 (CV)]])</f>
        <v>0</v>
      </c>
      <c r="N22" s="21">
        <f>IF(RobotDesignResults[[#This Row],[Team Number]]&gt;0,MIN(_xlfn.RANK.EQ(RobotDesignResults[[#This Row],[Engineering Design Score]],RobotDesignResults[Engineering Design Score],0),NumberOfTeams),NumberOfTeams+1)</f>
        <v>9</v>
      </c>
    </row>
    <row r="23" spans="1:14" ht="30" customHeight="1" x14ac:dyDescent="0.25">
      <c r="A23" s="8">
        <f>_xlfn.XLOOKUP(22,OfficialTeamList[Row],OfficialTeamList[Team Number],"ERROR",0)</f>
        <v>0</v>
      </c>
      <c r="B23" s="20" t="str">
        <f>_xlfn.XLOOKUP(RobotDesignResults[[#This Row],[Team Number]],OfficialTeamList[Team Number],OfficialTeamList[Team Name],"",0,)</f>
        <v/>
      </c>
      <c r="C23" s="12"/>
      <c r="D23" s="12"/>
      <c r="E23" s="12"/>
      <c r="F23" s="12"/>
      <c r="G23" s="12"/>
      <c r="H23" s="12"/>
      <c r="I23" s="12"/>
      <c r="J23" s="12"/>
      <c r="K23" s="12"/>
      <c r="L23" s="12"/>
      <c r="M23" s="8">
        <f>SUM(RobotDesignResults[[#This Row],[Identify 1]:[Communicate 2 (CV)]])</f>
        <v>0</v>
      </c>
      <c r="N23" s="21">
        <f>IF(RobotDesignResults[[#This Row],[Team Number]]&gt;0,MIN(_xlfn.RANK.EQ(RobotDesignResults[[#This Row],[Engineering Design Score]],RobotDesignResults[Engineering Design Score],0),NumberOfTeams),NumberOfTeams+1)</f>
        <v>9</v>
      </c>
    </row>
    <row r="24" spans="1:14" ht="30" customHeight="1" x14ac:dyDescent="0.25">
      <c r="A24" s="8">
        <f>_xlfn.XLOOKUP(23,OfficialTeamList[Row],OfficialTeamList[Team Number],"ERROR",0)</f>
        <v>0</v>
      </c>
      <c r="B24" s="20" t="str">
        <f>_xlfn.XLOOKUP(RobotDesignResults[[#This Row],[Team Number]],OfficialTeamList[Team Number],OfficialTeamList[Team Name],"",0,)</f>
        <v/>
      </c>
      <c r="C24" s="12"/>
      <c r="D24" s="12"/>
      <c r="E24" s="12"/>
      <c r="F24" s="12"/>
      <c r="G24" s="12"/>
      <c r="H24" s="12"/>
      <c r="I24" s="12"/>
      <c r="J24" s="12"/>
      <c r="K24" s="12"/>
      <c r="L24" s="12"/>
      <c r="M24" s="8">
        <f>SUM(RobotDesignResults[[#This Row],[Identify 1]:[Communicate 2 (CV)]])</f>
        <v>0</v>
      </c>
      <c r="N24" s="21">
        <f>IF(RobotDesignResults[[#This Row],[Team Number]]&gt;0,MIN(_xlfn.RANK.EQ(RobotDesignResults[[#This Row],[Engineering Design Score]],RobotDesignResults[Engineering Design Score],0),NumberOfTeams),NumberOfTeams+1)</f>
        <v>9</v>
      </c>
    </row>
    <row r="25" spans="1:14" ht="30" customHeight="1" x14ac:dyDescent="0.25">
      <c r="A25" s="8">
        <f>_xlfn.XLOOKUP(24,OfficialTeamList[Row],OfficialTeamList[Team Number],"ERROR",0)</f>
        <v>0</v>
      </c>
      <c r="B25" s="20" t="str">
        <f>_xlfn.XLOOKUP(RobotDesignResults[[#This Row],[Team Number]],OfficialTeamList[Team Number],OfficialTeamList[Team Name],"",0,)</f>
        <v/>
      </c>
      <c r="C25" s="12"/>
      <c r="D25" s="12"/>
      <c r="E25" s="12"/>
      <c r="F25" s="12"/>
      <c r="G25" s="12"/>
      <c r="H25" s="12"/>
      <c r="I25" s="12"/>
      <c r="J25" s="12"/>
      <c r="K25" s="12"/>
      <c r="L25" s="12"/>
      <c r="M25" s="8">
        <f>SUM(RobotDesignResults[[#This Row],[Identify 1]:[Communicate 2 (CV)]])</f>
        <v>0</v>
      </c>
      <c r="N25" s="21">
        <f>IF(RobotDesignResults[[#This Row],[Team Number]]&gt;0,MIN(_xlfn.RANK.EQ(RobotDesignResults[[#This Row],[Engineering Design Score]],RobotDesignResults[Engineering Design Score],0),NumberOfTeams),NumberOfTeams+1)</f>
        <v>9</v>
      </c>
    </row>
    <row r="26" spans="1:14" ht="30" customHeight="1" x14ac:dyDescent="0.25">
      <c r="A26" s="8">
        <f>_xlfn.XLOOKUP(25,OfficialTeamList[Row],OfficialTeamList[Team Number],"ERROR",0)</f>
        <v>0</v>
      </c>
      <c r="B26" s="20" t="str">
        <f>_xlfn.XLOOKUP(RobotDesignResults[[#This Row],[Team Number]],OfficialTeamList[Team Number],OfficialTeamList[Team Name],"",0,)</f>
        <v/>
      </c>
      <c r="C26" s="12"/>
      <c r="D26" s="12"/>
      <c r="E26" s="12"/>
      <c r="F26" s="12"/>
      <c r="G26" s="12"/>
      <c r="H26" s="12"/>
      <c r="I26" s="12"/>
      <c r="J26" s="12"/>
      <c r="K26" s="12"/>
      <c r="L26" s="12"/>
      <c r="M26" s="8">
        <f>SUM(RobotDesignResults[[#This Row],[Identify 1]:[Communicate 2 (CV)]])</f>
        <v>0</v>
      </c>
      <c r="N26" s="21">
        <f>IF(RobotDesignResults[[#This Row],[Team Number]]&gt;0,MIN(_xlfn.RANK.EQ(RobotDesignResults[[#This Row],[Engineering Design Score]],RobotDesignResults[Engineering Design Score],0),NumberOfTeams),NumberOfTeams+1)</f>
        <v>9</v>
      </c>
    </row>
    <row r="27" spans="1:14" ht="30" customHeight="1" x14ac:dyDescent="0.25">
      <c r="A27" s="8">
        <f>_xlfn.XLOOKUP(26,OfficialTeamList[Row],OfficialTeamList[Team Number],"ERROR",0)</f>
        <v>0</v>
      </c>
      <c r="B27" s="20" t="str">
        <f>_xlfn.XLOOKUP(RobotDesignResults[[#This Row],[Team Number]],OfficialTeamList[Team Number],OfficialTeamList[Team Name],"",0,)</f>
        <v/>
      </c>
      <c r="C27" s="12"/>
      <c r="D27" s="12"/>
      <c r="E27" s="12"/>
      <c r="F27" s="12"/>
      <c r="G27" s="12"/>
      <c r="H27" s="12"/>
      <c r="I27" s="12"/>
      <c r="J27" s="12"/>
      <c r="K27" s="12"/>
      <c r="L27" s="12"/>
      <c r="M27" s="8">
        <f>SUM(RobotDesignResults[[#This Row],[Identify 1]:[Communicate 2 (CV)]])</f>
        <v>0</v>
      </c>
      <c r="N27" s="21">
        <f>IF(RobotDesignResults[[#This Row],[Team Number]]&gt;0,MIN(_xlfn.RANK.EQ(RobotDesignResults[[#This Row],[Engineering Design Score]],RobotDesignResults[Engineering Design Score],0),NumberOfTeams),NumberOfTeams+1)</f>
        <v>9</v>
      </c>
    </row>
    <row r="28" spans="1:14" ht="30" customHeight="1" x14ac:dyDescent="0.25">
      <c r="A28" s="8">
        <f>_xlfn.XLOOKUP(27,OfficialTeamList[Row],OfficialTeamList[Team Number],"ERROR",0)</f>
        <v>0</v>
      </c>
      <c r="B28" s="20" t="str">
        <f>_xlfn.XLOOKUP(RobotDesignResults[[#This Row],[Team Number]],OfficialTeamList[Team Number],OfficialTeamList[Team Name],"",0,)</f>
        <v/>
      </c>
      <c r="C28" s="12"/>
      <c r="D28" s="12"/>
      <c r="E28" s="12"/>
      <c r="F28" s="12"/>
      <c r="G28" s="12"/>
      <c r="H28" s="12"/>
      <c r="I28" s="12"/>
      <c r="J28" s="12"/>
      <c r="K28" s="12"/>
      <c r="L28" s="12"/>
      <c r="M28" s="8">
        <f>SUM(RobotDesignResults[[#This Row],[Identify 1]:[Communicate 2 (CV)]])</f>
        <v>0</v>
      </c>
      <c r="N28" s="21">
        <f>IF(RobotDesignResults[[#This Row],[Team Number]]&gt;0,MIN(_xlfn.RANK.EQ(RobotDesignResults[[#This Row],[Engineering Design Score]],RobotDesignResults[Engineering Design Score],0),NumberOfTeams),NumberOfTeams+1)</f>
        <v>9</v>
      </c>
    </row>
    <row r="29" spans="1:14" ht="30" customHeight="1" x14ac:dyDescent="0.25">
      <c r="A29" s="8">
        <f>_xlfn.XLOOKUP(28,OfficialTeamList[Row],OfficialTeamList[Team Number],"ERROR",0)</f>
        <v>0</v>
      </c>
      <c r="B29" s="20" t="str">
        <f>_xlfn.XLOOKUP(RobotDesignResults[[#This Row],[Team Number]],OfficialTeamList[Team Number],OfficialTeamList[Team Name],"",0,)</f>
        <v/>
      </c>
      <c r="C29" s="12"/>
      <c r="D29" s="12"/>
      <c r="E29" s="12"/>
      <c r="F29" s="12"/>
      <c r="G29" s="12"/>
      <c r="H29" s="12"/>
      <c r="I29" s="12"/>
      <c r="J29" s="12"/>
      <c r="K29" s="12"/>
      <c r="L29" s="12"/>
      <c r="M29" s="8">
        <f>SUM(RobotDesignResults[[#This Row],[Identify 1]:[Communicate 2 (CV)]])</f>
        <v>0</v>
      </c>
      <c r="N29" s="21">
        <f>IF(RobotDesignResults[[#This Row],[Team Number]]&gt;0,MIN(_xlfn.RANK.EQ(RobotDesignResults[[#This Row],[Engineering Design Score]],RobotDesignResults[Engineering Design Score],0),NumberOfTeams),NumberOfTeams+1)</f>
        <v>9</v>
      </c>
    </row>
    <row r="30" spans="1:14" ht="30" customHeight="1" x14ac:dyDescent="0.25">
      <c r="A30" s="8">
        <f>_xlfn.XLOOKUP(29,OfficialTeamList[Row],OfficialTeamList[Team Number],"ERROR",0)</f>
        <v>0</v>
      </c>
      <c r="B30" s="20" t="str">
        <f>_xlfn.XLOOKUP(RobotDesignResults[[#This Row],[Team Number]],OfficialTeamList[Team Number],OfficialTeamList[Team Name],"",0,)</f>
        <v/>
      </c>
      <c r="C30" s="12"/>
      <c r="D30" s="12"/>
      <c r="E30" s="12"/>
      <c r="F30" s="12"/>
      <c r="G30" s="12"/>
      <c r="H30" s="12"/>
      <c r="I30" s="12"/>
      <c r="J30" s="12"/>
      <c r="K30" s="12"/>
      <c r="L30" s="12"/>
      <c r="M30" s="8">
        <f>SUM(RobotDesignResults[[#This Row],[Identify 1]:[Communicate 2 (CV)]])</f>
        <v>0</v>
      </c>
      <c r="N30" s="21">
        <f>IF(RobotDesignResults[[#This Row],[Team Number]]&gt;0,MIN(_xlfn.RANK.EQ(RobotDesignResults[[#This Row],[Engineering Design Score]],RobotDesignResults[Engineering Design Score],0),NumberOfTeams),NumberOfTeams+1)</f>
        <v>9</v>
      </c>
    </row>
    <row r="31" spans="1:14" ht="30" customHeight="1" x14ac:dyDescent="0.25">
      <c r="A31" s="8">
        <f>_xlfn.XLOOKUP(30,OfficialTeamList[Row],OfficialTeamList[Team Number],"ERROR",0)</f>
        <v>0</v>
      </c>
      <c r="B31" s="20" t="str">
        <f>_xlfn.XLOOKUP(RobotDesignResults[[#This Row],[Team Number]],OfficialTeamList[Team Number],OfficialTeamList[Team Name],"",0,)</f>
        <v/>
      </c>
      <c r="C31" s="12"/>
      <c r="D31" s="12"/>
      <c r="E31" s="12"/>
      <c r="F31" s="12"/>
      <c r="G31" s="12"/>
      <c r="H31" s="12"/>
      <c r="I31" s="12"/>
      <c r="J31" s="12"/>
      <c r="K31" s="12"/>
      <c r="L31" s="12"/>
      <c r="M31" s="8">
        <f>SUM(RobotDesignResults[[#This Row],[Identify 1]:[Communicate 2 (CV)]])</f>
        <v>0</v>
      </c>
      <c r="N31" s="21">
        <f>IF(RobotDesignResults[[#This Row],[Team Number]]&gt;0,MIN(_xlfn.RANK.EQ(RobotDesignResults[[#This Row],[Engineering Design Score]],RobotDesignResults[Engineering Design Score],0),NumberOfTeams),NumberOfTeams+1)</f>
        <v>9</v>
      </c>
    </row>
    <row r="32" spans="1:14" ht="30" customHeight="1" x14ac:dyDescent="0.25">
      <c r="A32" s="8">
        <f>_xlfn.XLOOKUP(31,OfficialTeamList[Row],OfficialTeamList[Team Number],"ERROR",0)</f>
        <v>0</v>
      </c>
      <c r="B32" s="20" t="str">
        <f>_xlfn.XLOOKUP(RobotDesignResults[[#This Row],[Team Number]],OfficialTeamList[Team Number],OfficialTeamList[Team Name],"",0,)</f>
        <v/>
      </c>
      <c r="C32" s="12"/>
      <c r="D32" s="12"/>
      <c r="E32" s="12"/>
      <c r="F32" s="12"/>
      <c r="G32" s="12"/>
      <c r="H32" s="12"/>
      <c r="I32" s="12"/>
      <c r="J32" s="12"/>
      <c r="K32" s="12"/>
      <c r="L32" s="12"/>
      <c r="M32" s="8">
        <f>SUM(RobotDesignResults[[#This Row],[Identify 1]:[Communicate 2 (CV)]])</f>
        <v>0</v>
      </c>
      <c r="N32" s="21">
        <f>IF(RobotDesignResults[[#This Row],[Team Number]]&gt;0,MIN(_xlfn.RANK.EQ(RobotDesignResults[[#This Row],[Engineering Design Score]],RobotDesignResults[Engineering Design Score],0),NumberOfTeams),NumberOfTeams+1)</f>
        <v>9</v>
      </c>
    </row>
    <row r="33" spans="1:14" ht="30" customHeight="1" x14ac:dyDescent="0.25">
      <c r="A33" s="8">
        <f>_xlfn.XLOOKUP(32,OfficialTeamList[Row],OfficialTeamList[Team Number],"ERROR",0)</f>
        <v>0</v>
      </c>
      <c r="B33" s="20" t="str">
        <f>_xlfn.XLOOKUP(RobotDesignResults[[#This Row],[Team Number]],OfficialTeamList[Team Number],OfficialTeamList[Team Name],"",0,)</f>
        <v/>
      </c>
      <c r="C33" s="12"/>
      <c r="D33" s="12"/>
      <c r="E33" s="12"/>
      <c r="F33" s="12"/>
      <c r="G33" s="12"/>
      <c r="H33" s="12"/>
      <c r="I33" s="12"/>
      <c r="J33" s="12"/>
      <c r="K33" s="12"/>
      <c r="L33" s="12"/>
      <c r="M33" s="8">
        <f>SUM(RobotDesignResults[[#This Row],[Identify 1]:[Communicate 2 (CV)]])</f>
        <v>0</v>
      </c>
      <c r="N33" s="21">
        <f>IF(RobotDesignResults[[#This Row],[Team Number]]&gt;0,MIN(_xlfn.RANK.EQ(RobotDesignResults[[#This Row],[Engineering Design Score]],RobotDesignResults[Engineering Design Score],0),NumberOfTeams),NumberOfTeams+1)</f>
        <v>9</v>
      </c>
    </row>
    <row r="34" spans="1:14" ht="30" customHeight="1" x14ac:dyDescent="0.25">
      <c r="A34" s="8">
        <f>_xlfn.XLOOKUP(33,OfficialTeamList[Row],OfficialTeamList[Team Number],"ERROR",0)</f>
        <v>0</v>
      </c>
      <c r="B34" s="20" t="str">
        <f>_xlfn.XLOOKUP(RobotDesignResults[[#This Row],[Team Number]],OfficialTeamList[Team Number],OfficialTeamList[Team Name],"",0,)</f>
        <v/>
      </c>
      <c r="C34" s="12"/>
      <c r="D34" s="12"/>
      <c r="E34" s="12"/>
      <c r="F34" s="12"/>
      <c r="G34" s="12"/>
      <c r="H34" s="12"/>
      <c r="I34" s="12"/>
      <c r="J34" s="12"/>
      <c r="K34" s="12"/>
      <c r="L34" s="12"/>
      <c r="M34" s="8">
        <f>SUM(RobotDesignResults[[#This Row],[Identify 1]:[Communicate 2 (CV)]])</f>
        <v>0</v>
      </c>
      <c r="N34" s="21">
        <f>IF(RobotDesignResults[[#This Row],[Team Number]]&gt;0,MIN(_xlfn.RANK.EQ(RobotDesignResults[[#This Row],[Engineering Design Score]],RobotDesignResults[Engineering Design Score],0),NumberOfTeams),NumberOfTeams+1)</f>
        <v>9</v>
      </c>
    </row>
    <row r="35" spans="1:14" ht="30" customHeight="1" x14ac:dyDescent="0.25">
      <c r="A35" s="8">
        <f>_xlfn.XLOOKUP(34,OfficialTeamList[Row],OfficialTeamList[Team Number],"ERROR",0)</f>
        <v>0</v>
      </c>
      <c r="B35" s="20" t="str">
        <f>_xlfn.XLOOKUP(RobotDesignResults[[#This Row],[Team Number]],OfficialTeamList[Team Number],OfficialTeamList[Team Name],"",0,)</f>
        <v/>
      </c>
      <c r="C35" s="12"/>
      <c r="D35" s="12"/>
      <c r="E35" s="12"/>
      <c r="F35" s="12"/>
      <c r="G35" s="12"/>
      <c r="H35" s="12"/>
      <c r="I35" s="12"/>
      <c r="J35" s="12"/>
      <c r="K35" s="12"/>
      <c r="L35" s="12"/>
      <c r="M35" s="8">
        <f>SUM(RobotDesignResults[[#This Row],[Identify 1]:[Communicate 2 (CV)]])</f>
        <v>0</v>
      </c>
      <c r="N35" s="21">
        <f>IF(RobotDesignResults[[#This Row],[Team Number]]&gt;0,MIN(_xlfn.RANK.EQ(RobotDesignResults[[#This Row],[Engineering Design Score]],RobotDesignResults[Engineering Design Score],0),NumberOfTeams),NumberOfTeams+1)</f>
        <v>9</v>
      </c>
    </row>
    <row r="36" spans="1:14" ht="30" customHeight="1" x14ac:dyDescent="0.25">
      <c r="A36" s="8">
        <f>_xlfn.XLOOKUP(35,OfficialTeamList[Row],OfficialTeamList[Team Number],"ERROR",0)</f>
        <v>0</v>
      </c>
      <c r="B36" s="20" t="str">
        <f>_xlfn.XLOOKUP(RobotDesignResults[[#This Row],[Team Number]],OfficialTeamList[Team Number],OfficialTeamList[Team Name],"",0,)</f>
        <v/>
      </c>
      <c r="C36" s="12"/>
      <c r="D36" s="12"/>
      <c r="E36" s="12"/>
      <c r="F36" s="12"/>
      <c r="G36" s="12"/>
      <c r="H36" s="12"/>
      <c r="I36" s="12"/>
      <c r="J36" s="12"/>
      <c r="K36" s="12"/>
      <c r="L36" s="12"/>
      <c r="M36" s="8">
        <f>SUM(RobotDesignResults[[#This Row],[Identify 1]:[Communicate 2 (CV)]])</f>
        <v>0</v>
      </c>
      <c r="N36" s="21">
        <f>IF(RobotDesignResults[[#This Row],[Team Number]]&gt;0,MIN(_xlfn.RANK.EQ(RobotDesignResults[[#This Row],[Engineering Design Score]],RobotDesignResults[Engineering Design Score],0),NumberOfTeams),NumberOfTeams+1)</f>
        <v>9</v>
      </c>
    </row>
    <row r="37" spans="1:14" ht="30" customHeight="1" x14ac:dyDescent="0.25">
      <c r="A37" s="8">
        <f>_xlfn.XLOOKUP(36,OfficialTeamList[Row],OfficialTeamList[Team Number],"ERROR",0)</f>
        <v>0</v>
      </c>
      <c r="B37" s="20" t="str">
        <f>_xlfn.XLOOKUP(RobotDesignResults[[#This Row],[Team Number]],OfficialTeamList[Team Number],OfficialTeamList[Team Name],"",0,)</f>
        <v/>
      </c>
      <c r="C37" s="12"/>
      <c r="D37" s="12"/>
      <c r="E37" s="12"/>
      <c r="F37" s="12"/>
      <c r="G37" s="12"/>
      <c r="H37" s="12"/>
      <c r="I37" s="12"/>
      <c r="J37" s="12"/>
      <c r="K37" s="12"/>
      <c r="L37" s="12"/>
      <c r="M37" s="8">
        <f>SUM(RobotDesignResults[[#This Row],[Identify 1]:[Communicate 2 (CV)]])</f>
        <v>0</v>
      </c>
      <c r="N37" s="21">
        <f>IF(RobotDesignResults[[#This Row],[Team Number]]&gt;0,MIN(_xlfn.RANK.EQ(RobotDesignResults[[#This Row],[Engineering Design Score]],RobotDesignResults[Engineering Design Score],0),NumberOfTeams),NumberOfTeams+1)</f>
        <v>9</v>
      </c>
    </row>
    <row r="38" spans="1:14" ht="30" customHeight="1" x14ac:dyDescent="0.25">
      <c r="A38" s="8">
        <f>_xlfn.XLOOKUP(37,OfficialTeamList[Row],OfficialTeamList[Team Number],"ERROR",0)</f>
        <v>0</v>
      </c>
      <c r="B38" s="20" t="str">
        <f>_xlfn.XLOOKUP(RobotDesignResults[[#This Row],[Team Number]],OfficialTeamList[Team Number],OfficialTeamList[Team Name],"",0,)</f>
        <v/>
      </c>
      <c r="C38" s="12"/>
      <c r="D38" s="12"/>
      <c r="E38" s="12"/>
      <c r="F38" s="12"/>
      <c r="G38" s="12"/>
      <c r="H38" s="12"/>
      <c r="I38" s="12"/>
      <c r="J38" s="12"/>
      <c r="K38" s="12"/>
      <c r="L38" s="12"/>
      <c r="M38" s="8">
        <f>SUM(RobotDesignResults[[#This Row],[Identify 1]:[Communicate 2 (CV)]])</f>
        <v>0</v>
      </c>
      <c r="N38" s="21">
        <f>IF(RobotDesignResults[[#This Row],[Team Number]]&gt;0,MIN(_xlfn.RANK.EQ(RobotDesignResults[[#This Row],[Engineering Design Score]],RobotDesignResults[Engineering Design Score],0),NumberOfTeams),NumberOfTeams+1)</f>
        <v>9</v>
      </c>
    </row>
    <row r="39" spans="1:14" ht="30" customHeight="1" x14ac:dyDescent="0.25">
      <c r="A39" s="8">
        <f>_xlfn.XLOOKUP(38,OfficialTeamList[Row],OfficialTeamList[Team Number],"ERROR",0)</f>
        <v>0</v>
      </c>
      <c r="B39" s="20" t="str">
        <f>_xlfn.XLOOKUP(RobotDesignResults[[#This Row],[Team Number]],OfficialTeamList[Team Number],OfficialTeamList[Team Name],"",0,)</f>
        <v/>
      </c>
      <c r="C39" s="12"/>
      <c r="D39" s="12"/>
      <c r="E39" s="12"/>
      <c r="F39" s="12"/>
      <c r="G39" s="12"/>
      <c r="H39" s="12"/>
      <c r="I39" s="12"/>
      <c r="J39" s="12"/>
      <c r="K39" s="12"/>
      <c r="L39" s="12"/>
      <c r="M39" s="8">
        <f>SUM(RobotDesignResults[[#This Row],[Identify 1]:[Communicate 2 (CV)]])</f>
        <v>0</v>
      </c>
      <c r="N39" s="21">
        <f>IF(RobotDesignResults[[#This Row],[Team Number]]&gt;0,MIN(_xlfn.RANK.EQ(RobotDesignResults[[#This Row],[Engineering Design Score]],RobotDesignResults[Engineering Design Score],0),NumberOfTeams),NumberOfTeams+1)</f>
        <v>9</v>
      </c>
    </row>
    <row r="40" spans="1:14" ht="30" customHeight="1" x14ac:dyDescent="0.25">
      <c r="A40" s="8">
        <f>_xlfn.XLOOKUP(39,OfficialTeamList[Row],OfficialTeamList[Team Number],"ERROR",0)</f>
        <v>0</v>
      </c>
      <c r="B40" s="20" t="str">
        <f>_xlfn.XLOOKUP(RobotDesignResults[[#This Row],[Team Number]],OfficialTeamList[Team Number],OfficialTeamList[Team Name],"",0,)</f>
        <v/>
      </c>
      <c r="C40" s="12"/>
      <c r="D40" s="12"/>
      <c r="E40" s="12"/>
      <c r="F40" s="12"/>
      <c r="G40" s="12"/>
      <c r="H40" s="12"/>
      <c r="I40" s="12"/>
      <c r="J40" s="12"/>
      <c r="K40" s="12"/>
      <c r="L40" s="12"/>
      <c r="M40" s="8">
        <f>SUM(RobotDesignResults[[#This Row],[Identify 1]:[Communicate 2 (CV)]])</f>
        <v>0</v>
      </c>
      <c r="N40" s="21">
        <f>IF(RobotDesignResults[[#This Row],[Team Number]]&gt;0,MIN(_xlfn.RANK.EQ(RobotDesignResults[[#This Row],[Engineering Design Score]],RobotDesignResults[Engineering Design Score],0),NumberOfTeams),NumberOfTeams+1)</f>
        <v>9</v>
      </c>
    </row>
    <row r="41" spans="1:14" ht="30" customHeight="1" x14ac:dyDescent="0.25">
      <c r="A41" s="8">
        <f>_xlfn.XLOOKUP(40,OfficialTeamList[Row],OfficialTeamList[Team Number],"ERROR",0)</f>
        <v>0</v>
      </c>
      <c r="B41" s="20" t="str">
        <f>_xlfn.XLOOKUP(RobotDesignResults[[#This Row],[Team Number]],OfficialTeamList[Team Number],OfficialTeamList[Team Name],"",0,)</f>
        <v/>
      </c>
      <c r="C41" s="12"/>
      <c r="D41" s="12"/>
      <c r="E41" s="12"/>
      <c r="F41" s="12"/>
      <c r="G41" s="12"/>
      <c r="H41" s="12"/>
      <c r="I41" s="12"/>
      <c r="J41" s="12"/>
      <c r="K41" s="12"/>
      <c r="L41" s="12"/>
      <c r="M41" s="8">
        <f>SUM(RobotDesignResults[[#This Row],[Identify 1]:[Communicate 2 (CV)]])</f>
        <v>0</v>
      </c>
      <c r="N41" s="21">
        <f>IF(RobotDesignResults[[#This Row],[Team Number]]&gt;0,MIN(_xlfn.RANK.EQ(RobotDesignResults[[#This Row],[Engineering Design Score]],RobotDesignResults[Engineering Design Score],0),NumberOfTeams),NumberOfTeams+1)</f>
        <v>9</v>
      </c>
    </row>
    <row r="42" spans="1:14" ht="30" customHeight="1" x14ac:dyDescent="0.25">
      <c r="A42" s="8">
        <f>_xlfn.XLOOKUP(41,OfficialTeamList[Row],OfficialTeamList[Team Number],"ERROR",0)</f>
        <v>0</v>
      </c>
      <c r="B42" s="20" t="str">
        <f>_xlfn.XLOOKUP(RobotDesignResults[[#This Row],[Team Number]],OfficialTeamList[Team Number],OfficialTeamList[Team Name],"",0,)</f>
        <v/>
      </c>
      <c r="C42" s="12"/>
      <c r="D42" s="12"/>
      <c r="E42" s="12"/>
      <c r="F42" s="12"/>
      <c r="G42" s="12"/>
      <c r="H42" s="12"/>
      <c r="I42" s="12"/>
      <c r="J42" s="12"/>
      <c r="K42" s="12"/>
      <c r="L42" s="12"/>
      <c r="M42" s="8">
        <f>SUM(RobotDesignResults[[#This Row],[Identify 1]:[Communicate 2 (CV)]])</f>
        <v>0</v>
      </c>
      <c r="N42" s="21">
        <f>IF(RobotDesignResults[[#This Row],[Team Number]]&gt;0,MIN(_xlfn.RANK.EQ(RobotDesignResults[[#This Row],[Engineering Design Score]],RobotDesignResults[Engineering Design Score],0),NumberOfTeams),NumberOfTeams+1)</f>
        <v>9</v>
      </c>
    </row>
    <row r="43" spans="1:14" ht="30" customHeight="1" x14ac:dyDescent="0.25">
      <c r="A43" s="8">
        <f>_xlfn.XLOOKUP(42,OfficialTeamList[Row],OfficialTeamList[Team Number],"ERROR",0)</f>
        <v>0</v>
      </c>
      <c r="B43" s="20" t="str">
        <f>_xlfn.XLOOKUP(RobotDesignResults[[#This Row],[Team Number]],OfficialTeamList[Team Number],OfficialTeamList[Team Name],"",0,)</f>
        <v/>
      </c>
      <c r="C43" s="12"/>
      <c r="D43" s="12"/>
      <c r="E43" s="12"/>
      <c r="F43" s="12"/>
      <c r="G43" s="12"/>
      <c r="H43" s="12"/>
      <c r="I43" s="12"/>
      <c r="J43" s="12"/>
      <c r="K43" s="12"/>
      <c r="L43" s="12"/>
      <c r="M43" s="8">
        <f>SUM(RobotDesignResults[[#This Row],[Identify 1]:[Communicate 2 (CV)]])</f>
        <v>0</v>
      </c>
      <c r="N43" s="21">
        <f>IF(RobotDesignResults[[#This Row],[Team Number]]&gt;0,MIN(_xlfn.RANK.EQ(RobotDesignResults[[#This Row],[Engineering Design Score]],RobotDesignResults[Engineering Design Score],0),NumberOfTeams),NumberOfTeams+1)</f>
        <v>9</v>
      </c>
    </row>
    <row r="44" spans="1:14" ht="30" customHeight="1" x14ac:dyDescent="0.25">
      <c r="A44" s="8">
        <f>_xlfn.XLOOKUP(43,OfficialTeamList[Row],OfficialTeamList[Team Number],"ERROR",0)</f>
        <v>0</v>
      </c>
      <c r="B44" s="20" t="str">
        <f>_xlfn.XLOOKUP(RobotDesignResults[[#This Row],[Team Number]],OfficialTeamList[Team Number],OfficialTeamList[Team Name],"",0,)</f>
        <v/>
      </c>
      <c r="C44" s="12"/>
      <c r="D44" s="12"/>
      <c r="E44" s="12"/>
      <c r="F44" s="12"/>
      <c r="G44" s="12"/>
      <c r="H44" s="12"/>
      <c r="I44" s="12"/>
      <c r="J44" s="12"/>
      <c r="K44" s="12"/>
      <c r="L44" s="12"/>
      <c r="M44" s="8">
        <f>SUM(RobotDesignResults[[#This Row],[Identify 1]:[Communicate 2 (CV)]])</f>
        <v>0</v>
      </c>
      <c r="N44" s="21">
        <f>IF(RobotDesignResults[[#This Row],[Team Number]]&gt;0,MIN(_xlfn.RANK.EQ(RobotDesignResults[[#This Row],[Engineering Design Score]],RobotDesignResults[Engineering Design Score],0),NumberOfTeams),NumberOfTeams+1)</f>
        <v>9</v>
      </c>
    </row>
    <row r="45" spans="1:14" ht="30" customHeight="1" x14ac:dyDescent="0.25">
      <c r="A45" s="8">
        <f>_xlfn.XLOOKUP(44,OfficialTeamList[Row],OfficialTeamList[Team Number],"ERROR",0)</f>
        <v>0</v>
      </c>
      <c r="B45" s="20" t="str">
        <f>_xlfn.XLOOKUP(RobotDesignResults[[#This Row],[Team Number]],OfficialTeamList[Team Number],OfficialTeamList[Team Name],"",0,)</f>
        <v/>
      </c>
      <c r="C45" s="12"/>
      <c r="D45" s="12"/>
      <c r="E45" s="12"/>
      <c r="F45" s="12"/>
      <c r="G45" s="12"/>
      <c r="H45" s="12"/>
      <c r="I45" s="12"/>
      <c r="J45" s="12"/>
      <c r="K45" s="12"/>
      <c r="L45" s="12"/>
      <c r="M45" s="8">
        <f>SUM(RobotDesignResults[[#This Row],[Identify 1]:[Communicate 2 (CV)]])</f>
        <v>0</v>
      </c>
      <c r="N45" s="21">
        <f>IF(RobotDesignResults[[#This Row],[Team Number]]&gt;0,MIN(_xlfn.RANK.EQ(RobotDesignResults[[#This Row],[Engineering Design Score]],RobotDesignResults[Engineering Design Score],0),NumberOfTeams),NumberOfTeams+1)</f>
        <v>9</v>
      </c>
    </row>
    <row r="46" spans="1:14" ht="30" customHeight="1" x14ac:dyDescent="0.25">
      <c r="A46" s="8">
        <f>_xlfn.XLOOKUP(45,OfficialTeamList[Row],OfficialTeamList[Team Number],"ERROR",0)</f>
        <v>0</v>
      </c>
      <c r="B46" s="20" t="str">
        <f>_xlfn.XLOOKUP(RobotDesignResults[[#This Row],[Team Number]],OfficialTeamList[Team Number],OfficialTeamList[Team Name],"",0,)</f>
        <v/>
      </c>
      <c r="C46" s="12"/>
      <c r="D46" s="12"/>
      <c r="E46" s="12"/>
      <c r="F46" s="12"/>
      <c r="G46" s="12"/>
      <c r="H46" s="12"/>
      <c r="I46" s="12"/>
      <c r="J46" s="12"/>
      <c r="K46" s="12"/>
      <c r="L46" s="12"/>
      <c r="M46" s="8">
        <f>SUM(RobotDesignResults[[#This Row],[Identify 1]:[Communicate 2 (CV)]])</f>
        <v>0</v>
      </c>
      <c r="N46" s="21">
        <f>IF(RobotDesignResults[[#This Row],[Team Number]]&gt;0,MIN(_xlfn.RANK.EQ(RobotDesignResults[[#This Row],[Engineering Design Score]],RobotDesignResults[Engineering Design Score],0),NumberOfTeams),NumberOfTeams+1)</f>
        <v>9</v>
      </c>
    </row>
    <row r="47" spans="1:14" ht="30" customHeight="1" x14ac:dyDescent="0.25">
      <c r="A47" s="8">
        <f>_xlfn.XLOOKUP(46,OfficialTeamList[Row],OfficialTeamList[Team Number],"ERROR",0)</f>
        <v>0</v>
      </c>
      <c r="B47" s="20" t="str">
        <f>_xlfn.XLOOKUP(RobotDesignResults[[#This Row],[Team Number]],OfficialTeamList[Team Number],OfficialTeamList[Team Name],"",0,)</f>
        <v/>
      </c>
      <c r="C47" s="12"/>
      <c r="D47" s="12"/>
      <c r="E47" s="12"/>
      <c r="F47" s="12"/>
      <c r="G47" s="12"/>
      <c r="H47" s="12"/>
      <c r="I47" s="12"/>
      <c r="J47" s="12"/>
      <c r="K47" s="12"/>
      <c r="L47" s="12"/>
      <c r="M47" s="8">
        <f>SUM(RobotDesignResults[[#This Row],[Identify 1]:[Communicate 2 (CV)]])</f>
        <v>0</v>
      </c>
      <c r="N47" s="21">
        <f>IF(RobotDesignResults[[#This Row],[Team Number]]&gt;0,MIN(_xlfn.RANK.EQ(RobotDesignResults[[#This Row],[Engineering Design Score]],RobotDesignResults[Engineering Design Score],0),NumberOfTeams),NumberOfTeams+1)</f>
        <v>9</v>
      </c>
    </row>
    <row r="48" spans="1:14" ht="30" customHeight="1" x14ac:dyDescent="0.25">
      <c r="A48" s="8">
        <f>_xlfn.XLOOKUP(47,OfficialTeamList[Row],OfficialTeamList[Team Number],"ERROR",0)</f>
        <v>0</v>
      </c>
      <c r="B48" s="20" t="str">
        <f>_xlfn.XLOOKUP(RobotDesignResults[[#This Row],[Team Number]],OfficialTeamList[Team Number],OfficialTeamList[Team Name],"",0,)</f>
        <v/>
      </c>
      <c r="C48" s="12"/>
      <c r="D48" s="12"/>
      <c r="E48" s="12"/>
      <c r="F48" s="12"/>
      <c r="G48" s="12"/>
      <c r="H48" s="12"/>
      <c r="I48" s="12"/>
      <c r="J48" s="12"/>
      <c r="K48" s="12"/>
      <c r="L48" s="12"/>
      <c r="M48" s="8">
        <f>SUM(RobotDesignResults[[#This Row],[Identify 1]:[Communicate 2 (CV)]])</f>
        <v>0</v>
      </c>
      <c r="N48" s="21">
        <f>IF(RobotDesignResults[[#This Row],[Team Number]]&gt;0,MIN(_xlfn.RANK.EQ(RobotDesignResults[[#This Row],[Engineering Design Score]],RobotDesignResults[Engineering Design Score],0),NumberOfTeams),NumberOfTeams+1)</f>
        <v>9</v>
      </c>
    </row>
    <row r="49" spans="1:14" ht="30" customHeight="1" x14ac:dyDescent="0.25">
      <c r="A49" s="8">
        <f>_xlfn.XLOOKUP(48,OfficialTeamList[Row],OfficialTeamList[Team Number],"ERROR",0)</f>
        <v>0</v>
      </c>
      <c r="B49" s="20" t="str">
        <f>_xlfn.XLOOKUP(RobotDesignResults[[#This Row],[Team Number]],OfficialTeamList[Team Number],OfficialTeamList[Team Name],"",0,)</f>
        <v/>
      </c>
      <c r="C49" s="12"/>
      <c r="D49" s="12"/>
      <c r="E49" s="12"/>
      <c r="F49" s="12"/>
      <c r="G49" s="12"/>
      <c r="H49" s="12"/>
      <c r="I49" s="12"/>
      <c r="J49" s="12"/>
      <c r="K49" s="12"/>
      <c r="L49" s="12"/>
      <c r="M49" s="8">
        <f>SUM(RobotDesignResults[[#This Row],[Identify 1]:[Communicate 2 (CV)]])</f>
        <v>0</v>
      </c>
      <c r="N49" s="21">
        <f>IF(RobotDesignResults[[#This Row],[Team Number]]&gt;0,MIN(_xlfn.RANK.EQ(RobotDesignResults[[#This Row],[Engineering Design Score]],RobotDesignResults[Engineering Design Score],0),NumberOfTeams),NumberOfTeams+1)</f>
        <v>9</v>
      </c>
    </row>
    <row r="50" spans="1:14" ht="30" customHeight="1" x14ac:dyDescent="0.25">
      <c r="A50" s="8">
        <f>_xlfn.XLOOKUP(49,OfficialTeamList[Row],OfficialTeamList[Team Number],"ERROR",0)</f>
        <v>0</v>
      </c>
      <c r="B50" s="20" t="str">
        <f>_xlfn.XLOOKUP(RobotDesignResults[[#This Row],[Team Number]],OfficialTeamList[Team Number],OfficialTeamList[Team Name],"",0,)</f>
        <v/>
      </c>
      <c r="C50" s="12"/>
      <c r="D50" s="12"/>
      <c r="E50" s="12"/>
      <c r="F50" s="12"/>
      <c r="G50" s="12"/>
      <c r="H50" s="12"/>
      <c r="I50" s="12"/>
      <c r="J50" s="12"/>
      <c r="K50" s="12"/>
      <c r="L50" s="12"/>
      <c r="M50" s="8">
        <f>SUM(RobotDesignResults[[#This Row],[Identify 1]:[Communicate 2 (CV)]])</f>
        <v>0</v>
      </c>
      <c r="N50" s="21">
        <f>IF(RobotDesignResults[[#This Row],[Team Number]]&gt;0,MIN(_xlfn.RANK.EQ(RobotDesignResults[[#This Row],[Engineering Design Score]],RobotDesignResults[Engineering Design Score],0),NumberOfTeams),NumberOfTeams+1)</f>
        <v>9</v>
      </c>
    </row>
    <row r="51" spans="1:14" ht="30" customHeight="1" x14ac:dyDescent="0.25">
      <c r="A51" s="8">
        <f>_xlfn.XLOOKUP(50,OfficialTeamList[Row],OfficialTeamList[Team Number],"ERROR",0)</f>
        <v>0</v>
      </c>
      <c r="B51" s="20" t="str">
        <f>_xlfn.XLOOKUP(RobotDesignResults[[#This Row],[Team Number]],OfficialTeamList[Team Number],OfficialTeamList[Team Name],"",0,)</f>
        <v/>
      </c>
      <c r="C51" s="12"/>
      <c r="D51" s="12"/>
      <c r="E51" s="12"/>
      <c r="F51" s="12"/>
      <c r="G51" s="12"/>
      <c r="H51" s="12"/>
      <c r="I51" s="12"/>
      <c r="J51" s="12"/>
      <c r="K51" s="12"/>
      <c r="L51" s="12"/>
      <c r="M51" s="8">
        <f>SUM(RobotDesignResults[[#This Row],[Identify 1]:[Communicate 2 (CV)]])</f>
        <v>0</v>
      </c>
      <c r="N51" s="21">
        <f>IF(RobotDesignResults[[#This Row],[Team Number]]&gt;0,MIN(_xlfn.RANK.EQ(RobotDesignResults[[#This Row],[Engineering Design Score]],RobotDesignResults[Engineering Design Score],0),NumberOfTeams),NumberOfTeams+1)</f>
        <v>9</v>
      </c>
    </row>
    <row r="52" spans="1:14" ht="30" customHeight="1" x14ac:dyDescent="0.25">
      <c r="A52" s="8">
        <f>_xlfn.XLOOKUP(51,OfficialTeamList[Row],OfficialTeamList[Team Number],"ERROR",0)</f>
        <v>0</v>
      </c>
      <c r="B52" s="20" t="str">
        <f>_xlfn.XLOOKUP(RobotDesignResults[[#This Row],[Team Number]],OfficialTeamList[Team Number],OfficialTeamList[Team Name],"",0,)</f>
        <v/>
      </c>
      <c r="C52" s="12"/>
      <c r="D52" s="12"/>
      <c r="E52" s="12"/>
      <c r="F52" s="12"/>
      <c r="G52" s="12"/>
      <c r="H52" s="12"/>
      <c r="I52" s="12"/>
      <c r="J52" s="12"/>
      <c r="K52" s="12"/>
      <c r="L52" s="12"/>
      <c r="M52" s="8">
        <f>SUM(RobotDesignResults[[#This Row],[Identify 1]:[Communicate 2 (CV)]])</f>
        <v>0</v>
      </c>
      <c r="N52" s="21">
        <f>IF(RobotDesignResults[[#This Row],[Team Number]]&gt;0,MIN(_xlfn.RANK.EQ(RobotDesignResults[[#This Row],[Engineering Design Score]],RobotDesignResults[Engineering Design Score],0),NumberOfTeams),NumberOfTeams+1)</f>
        <v>9</v>
      </c>
    </row>
    <row r="53" spans="1:14" ht="30" customHeight="1" x14ac:dyDescent="0.25">
      <c r="A53" s="8">
        <f>_xlfn.XLOOKUP(52,OfficialTeamList[Row],OfficialTeamList[Team Number],"ERROR",0)</f>
        <v>0</v>
      </c>
      <c r="B53" s="20" t="str">
        <f>_xlfn.XLOOKUP(RobotDesignResults[[#This Row],[Team Number]],OfficialTeamList[Team Number],OfficialTeamList[Team Name],"",0,)</f>
        <v/>
      </c>
      <c r="C53" s="12"/>
      <c r="D53" s="12"/>
      <c r="E53" s="12"/>
      <c r="F53" s="12"/>
      <c r="G53" s="12"/>
      <c r="H53" s="12"/>
      <c r="I53" s="12"/>
      <c r="J53" s="12"/>
      <c r="K53" s="12"/>
      <c r="L53" s="12"/>
      <c r="M53" s="8">
        <f>SUM(RobotDesignResults[[#This Row],[Identify 1]:[Communicate 2 (CV)]])</f>
        <v>0</v>
      </c>
      <c r="N53" s="21">
        <f>IF(RobotDesignResults[[#This Row],[Team Number]]&gt;0,MIN(_xlfn.RANK.EQ(RobotDesignResults[[#This Row],[Engineering Design Score]],RobotDesignResults[Engineering Design Score],0),NumberOfTeams),NumberOfTeams+1)</f>
        <v>9</v>
      </c>
    </row>
    <row r="54" spans="1:14" ht="30" customHeight="1" x14ac:dyDescent="0.25">
      <c r="A54" s="8">
        <f>_xlfn.XLOOKUP(53,OfficialTeamList[Row],OfficialTeamList[Team Number],"ERROR",0)</f>
        <v>0</v>
      </c>
      <c r="B54" s="20" t="str">
        <f>_xlfn.XLOOKUP(RobotDesignResults[[#This Row],[Team Number]],OfficialTeamList[Team Number],OfficialTeamList[Team Name],"",0,)</f>
        <v/>
      </c>
      <c r="C54" s="12"/>
      <c r="D54" s="12"/>
      <c r="E54" s="12"/>
      <c r="F54" s="12"/>
      <c r="G54" s="12"/>
      <c r="H54" s="12"/>
      <c r="I54" s="12"/>
      <c r="J54" s="12"/>
      <c r="K54" s="12"/>
      <c r="L54" s="12"/>
      <c r="M54" s="8">
        <f>SUM(RobotDesignResults[[#This Row],[Identify 1]:[Communicate 2 (CV)]])</f>
        <v>0</v>
      </c>
      <c r="N54" s="21">
        <f>IF(RobotDesignResults[[#This Row],[Team Number]]&gt;0,MIN(_xlfn.RANK.EQ(RobotDesignResults[[#This Row],[Engineering Design Score]],RobotDesignResults[Engineering Design Score],0),NumberOfTeams),NumberOfTeams+1)</f>
        <v>9</v>
      </c>
    </row>
    <row r="55" spans="1:14" ht="30" customHeight="1" x14ac:dyDescent="0.25">
      <c r="A55" s="8">
        <f>_xlfn.XLOOKUP(54,OfficialTeamList[Row],OfficialTeamList[Team Number],"ERROR",0)</f>
        <v>0</v>
      </c>
      <c r="B55" s="20" t="str">
        <f>_xlfn.XLOOKUP(RobotDesignResults[[#This Row],[Team Number]],OfficialTeamList[Team Number],OfficialTeamList[Team Name],"",0,)</f>
        <v/>
      </c>
      <c r="C55" s="12"/>
      <c r="D55" s="12"/>
      <c r="E55" s="12"/>
      <c r="F55" s="12"/>
      <c r="G55" s="12"/>
      <c r="H55" s="12"/>
      <c r="I55" s="12"/>
      <c r="J55" s="12"/>
      <c r="K55" s="12"/>
      <c r="L55" s="12"/>
      <c r="M55" s="8">
        <f>SUM(RobotDesignResults[[#This Row],[Identify 1]:[Communicate 2 (CV)]])</f>
        <v>0</v>
      </c>
      <c r="N55" s="21">
        <f>IF(RobotDesignResults[[#This Row],[Team Number]]&gt;0,MIN(_xlfn.RANK.EQ(RobotDesignResults[[#This Row],[Engineering Design Score]],RobotDesignResults[Engineering Design Score],0),NumberOfTeams),NumberOfTeams+1)</f>
        <v>9</v>
      </c>
    </row>
    <row r="56" spans="1:14" ht="30" customHeight="1" x14ac:dyDescent="0.25">
      <c r="A56" s="8">
        <f>_xlfn.XLOOKUP(55,OfficialTeamList[Row],OfficialTeamList[Team Number],"ERROR",0)</f>
        <v>0</v>
      </c>
      <c r="B56" s="20" t="str">
        <f>_xlfn.XLOOKUP(RobotDesignResults[[#This Row],[Team Number]],OfficialTeamList[Team Number],OfficialTeamList[Team Name],"",0,)</f>
        <v/>
      </c>
      <c r="C56" s="12"/>
      <c r="D56" s="12"/>
      <c r="E56" s="12"/>
      <c r="F56" s="12"/>
      <c r="G56" s="12"/>
      <c r="H56" s="12"/>
      <c r="I56" s="12"/>
      <c r="J56" s="12"/>
      <c r="K56" s="12"/>
      <c r="L56" s="12"/>
      <c r="M56" s="8">
        <f>SUM(RobotDesignResults[[#This Row],[Identify 1]:[Communicate 2 (CV)]])</f>
        <v>0</v>
      </c>
      <c r="N56" s="21">
        <f>IF(RobotDesignResults[[#This Row],[Team Number]]&gt;0,MIN(_xlfn.RANK.EQ(RobotDesignResults[[#This Row],[Engineering Design Score]],RobotDesignResults[Engineering Design Score],0),NumberOfTeams),NumberOfTeams+1)</f>
        <v>9</v>
      </c>
    </row>
    <row r="57" spans="1:14" ht="30" customHeight="1" x14ac:dyDescent="0.25">
      <c r="A57" s="8">
        <f>_xlfn.XLOOKUP(56,OfficialTeamList[Row],OfficialTeamList[Team Number],"ERROR",0)</f>
        <v>0</v>
      </c>
      <c r="B57" s="20" t="str">
        <f>_xlfn.XLOOKUP(RobotDesignResults[[#This Row],[Team Number]],OfficialTeamList[Team Number],OfficialTeamList[Team Name],"",0,)</f>
        <v/>
      </c>
      <c r="C57" s="12"/>
      <c r="D57" s="12"/>
      <c r="E57" s="12"/>
      <c r="F57" s="12"/>
      <c r="G57" s="12"/>
      <c r="H57" s="12"/>
      <c r="I57" s="12"/>
      <c r="J57" s="12"/>
      <c r="K57" s="12"/>
      <c r="L57" s="12"/>
      <c r="M57" s="8">
        <f>SUM(RobotDesignResults[[#This Row],[Identify 1]:[Communicate 2 (CV)]])</f>
        <v>0</v>
      </c>
      <c r="N57" s="21">
        <f>IF(RobotDesignResults[[#This Row],[Team Number]]&gt;0,MIN(_xlfn.RANK.EQ(RobotDesignResults[[#This Row],[Engineering Design Score]],RobotDesignResults[Engineering Design Score],0),NumberOfTeams),NumberOfTeams+1)</f>
        <v>9</v>
      </c>
    </row>
    <row r="58" spans="1:14" ht="30" customHeight="1" x14ac:dyDescent="0.25">
      <c r="A58" s="8">
        <f>_xlfn.XLOOKUP(57,OfficialTeamList[Row],OfficialTeamList[Team Number],"ERROR",0)</f>
        <v>0</v>
      </c>
      <c r="B58" s="20" t="str">
        <f>_xlfn.XLOOKUP(RobotDesignResults[[#This Row],[Team Number]],OfficialTeamList[Team Number],OfficialTeamList[Team Name],"",0,)</f>
        <v/>
      </c>
      <c r="C58" s="12"/>
      <c r="D58" s="12"/>
      <c r="E58" s="12"/>
      <c r="F58" s="12"/>
      <c r="G58" s="12"/>
      <c r="H58" s="12"/>
      <c r="I58" s="12"/>
      <c r="J58" s="12"/>
      <c r="K58" s="12"/>
      <c r="L58" s="12"/>
      <c r="M58" s="8">
        <f>SUM(RobotDesignResults[[#This Row],[Identify 1]:[Communicate 2 (CV)]])</f>
        <v>0</v>
      </c>
      <c r="N58" s="21">
        <f>IF(RobotDesignResults[[#This Row],[Team Number]]&gt;0,MIN(_xlfn.RANK.EQ(RobotDesignResults[[#This Row],[Engineering Design Score]],RobotDesignResults[Engineering Design Score],0),NumberOfTeams),NumberOfTeams+1)</f>
        <v>9</v>
      </c>
    </row>
    <row r="59" spans="1:14" ht="30" customHeight="1" x14ac:dyDescent="0.25">
      <c r="A59" s="8">
        <f>_xlfn.XLOOKUP(58,OfficialTeamList[Row],OfficialTeamList[Team Number],"ERROR",0)</f>
        <v>0</v>
      </c>
      <c r="B59" s="20" t="str">
        <f>_xlfn.XLOOKUP(RobotDesignResults[[#This Row],[Team Number]],OfficialTeamList[Team Number],OfficialTeamList[Team Name],"",0,)</f>
        <v/>
      </c>
      <c r="C59" s="12"/>
      <c r="D59" s="12"/>
      <c r="E59" s="12"/>
      <c r="F59" s="12"/>
      <c r="G59" s="12"/>
      <c r="H59" s="12"/>
      <c r="I59" s="12"/>
      <c r="J59" s="12"/>
      <c r="K59" s="12"/>
      <c r="L59" s="12"/>
      <c r="M59" s="8">
        <f>SUM(RobotDesignResults[[#This Row],[Identify 1]:[Communicate 2 (CV)]])</f>
        <v>0</v>
      </c>
      <c r="N59" s="21">
        <f>IF(RobotDesignResults[[#This Row],[Team Number]]&gt;0,MIN(_xlfn.RANK.EQ(RobotDesignResults[[#This Row],[Engineering Design Score]],RobotDesignResults[Engineering Design Score],0),NumberOfTeams),NumberOfTeams+1)</f>
        <v>9</v>
      </c>
    </row>
    <row r="60" spans="1:14" ht="30" customHeight="1" x14ac:dyDescent="0.25">
      <c r="A60" s="8">
        <f>_xlfn.XLOOKUP(59,OfficialTeamList[Row],OfficialTeamList[Team Number],"ERROR",0)</f>
        <v>0</v>
      </c>
      <c r="B60" s="20" t="str">
        <f>_xlfn.XLOOKUP(RobotDesignResults[[#This Row],[Team Number]],OfficialTeamList[Team Number],OfficialTeamList[Team Name],"",0,)</f>
        <v/>
      </c>
      <c r="C60" s="12"/>
      <c r="D60" s="12"/>
      <c r="E60" s="12"/>
      <c r="F60" s="12"/>
      <c r="G60" s="12"/>
      <c r="H60" s="12"/>
      <c r="I60" s="12"/>
      <c r="J60" s="12"/>
      <c r="K60" s="12"/>
      <c r="L60" s="12"/>
      <c r="M60" s="8">
        <f>SUM(RobotDesignResults[[#This Row],[Identify 1]:[Communicate 2 (CV)]])</f>
        <v>0</v>
      </c>
      <c r="N60" s="21">
        <f>IF(RobotDesignResults[[#This Row],[Team Number]]&gt;0,MIN(_xlfn.RANK.EQ(RobotDesignResults[[#This Row],[Engineering Design Score]],RobotDesignResults[Engineering Design Score],0),NumberOfTeams),NumberOfTeams+1)</f>
        <v>9</v>
      </c>
    </row>
    <row r="61" spans="1:14" ht="30" customHeight="1" x14ac:dyDescent="0.25">
      <c r="A61" s="8">
        <f>_xlfn.XLOOKUP(60,OfficialTeamList[Row],OfficialTeamList[Team Number],"ERROR",0)</f>
        <v>0</v>
      </c>
      <c r="B61" s="20" t="str">
        <f>_xlfn.XLOOKUP(RobotDesignResults[[#This Row],[Team Number]],OfficialTeamList[Team Number],OfficialTeamList[Team Name],"",0,)</f>
        <v/>
      </c>
      <c r="C61" s="12"/>
      <c r="D61" s="12"/>
      <c r="E61" s="12"/>
      <c r="F61" s="12"/>
      <c r="G61" s="12"/>
      <c r="H61" s="12"/>
      <c r="I61" s="12"/>
      <c r="J61" s="12"/>
      <c r="K61" s="12"/>
      <c r="L61" s="12"/>
      <c r="M61" s="8">
        <f>SUM(RobotDesignResults[[#This Row],[Identify 1]:[Communicate 2 (CV)]])</f>
        <v>0</v>
      </c>
      <c r="N61" s="21">
        <f>IF(RobotDesignResults[[#This Row],[Team Number]]&gt;0,MIN(_xlfn.RANK.EQ(RobotDesignResults[[#This Row],[Engineering Design Score]],RobotDesignResults[Engineering Design Score],0),NumberOfTeams),NumberOfTeams+1)</f>
        <v>9</v>
      </c>
    </row>
    <row r="62" spans="1:14" ht="30" customHeight="1" x14ac:dyDescent="0.25">
      <c r="A62" s="8">
        <f>_xlfn.XLOOKUP(61,OfficialTeamList[Row],OfficialTeamList[Team Number],"ERROR",0)</f>
        <v>0</v>
      </c>
      <c r="B62" s="20" t="str">
        <f>_xlfn.XLOOKUP(RobotDesignResults[[#This Row],[Team Number]],OfficialTeamList[Team Number],OfficialTeamList[Team Name],"",0,)</f>
        <v/>
      </c>
      <c r="C62" s="12"/>
      <c r="D62" s="12"/>
      <c r="E62" s="12"/>
      <c r="F62" s="12"/>
      <c r="G62" s="12"/>
      <c r="H62" s="12"/>
      <c r="I62" s="12"/>
      <c r="J62" s="12"/>
      <c r="K62" s="12"/>
      <c r="L62" s="12"/>
      <c r="M62" s="8">
        <f>SUM(RobotDesignResults[[#This Row],[Identify 1]:[Communicate 2 (CV)]])</f>
        <v>0</v>
      </c>
      <c r="N62" s="21">
        <f>IF(RobotDesignResults[[#This Row],[Team Number]]&gt;0,MIN(_xlfn.RANK.EQ(RobotDesignResults[[#This Row],[Engineering Design Score]],RobotDesignResults[Engineering Design Score],0),NumberOfTeams),NumberOfTeams+1)</f>
        <v>9</v>
      </c>
    </row>
    <row r="63" spans="1:14" ht="30" customHeight="1" x14ac:dyDescent="0.25">
      <c r="A63" s="8">
        <f>_xlfn.XLOOKUP(62,OfficialTeamList[Row],OfficialTeamList[Team Number],"ERROR",0)</f>
        <v>0</v>
      </c>
      <c r="B63" s="20" t="str">
        <f>_xlfn.XLOOKUP(RobotDesignResults[[#This Row],[Team Number]],OfficialTeamList[Team Number],OfficialTeamList[Team Name],"",0,)</f>
        <v/>
      </c>
      <c r="C63" s="12"/>
      <c r="D63" s="12"/>
      <c r="E63" s="12"/>
      <c r="F63" s="12"/>
      <c r="G63" s="12"/>
      <c r="H63" s="12"/>
      <c r="I63" s="12"/>
      <c r="J63" s="12"/>
      <c r="K63" s="12"/>
      <c r="L63" s="12"/>
      <c r="M63" s="8">
        <f>SUM(RobotDesignResults[[#This Row],[Identify 1]:[Communicate 2 (CV)]])</f>
        <v>0</v>
      </c>
      <c r="N63" s="21">
        <f>IF(RobotDesignResults[[#This Row],[Team Number]]&gt;0,MIN(_xlfn.RANK.EQ(RobotDesignResults[[#This Row],[Engineering Design Score]],RobotDesignResults[Engineering Design Score],0),NumberOfTeams),NumberOfTeams+1)</f>
        <v>9</v>
      </c>
    </row>
    <row r="64" spans="1:14" ht="30" customHeight="1" x14ac:dyDescent="0.25">
      <c r="A64" s="8">
        <f>_xlfn.XLOOKUP(63,OfficialTeamList[Row],OfficialTeamList[Team Number],"ERROR",0)</f>
        <v>0</v>
      </c>
      <c r="B64" s="20" t="str">
        <f>_xlfn.XLOOKUP(RobotDesignResults[[#This Row],[Team Number]],OfficialTeamList[Team Number],OfficialTeamList[Team Name],"",0,)</f>
        <v/>
      </c>
      <c r="C64" s="12"/>
      <c r="D64" s="12"/>
      <c r="E64" s="12"/>
      <c r="F64" s="12"/>
      <c r="G64" s="12"/>
      <c r="H64" s="12"/>
      <c r="I64" s="12"/>
      <c r="J64" s="12"/>
      <c r="K64" s="12"/>
      <c r="L64" s="12"/>
      <c r="M64" s="8">
        <f>SUM(RobotDesignResults[[#This Row],[Identify 1]:[Communicate 2 (CV)]])</f>
        <v>0</v>
      </c>
      <c r="N64" s="21">
        <f>IF(RobotDesignResults[[#This Row],[Team Number]]&gt;0,MIN(_xlfn.RANK.EQ(RobotDesignResults[[#This Row],[Engineering Design Score]],RobotDesignResults[Engineering Design Score],0),NumberOfTeams),NumberOfTeams+1)</f>
        <v>9</v>
      </c>
    </row>
    <row r="65" spans="1:14" ht="30" customHeight="1" x14ac:dyDescent="0.25">
      <c r="A65" s="8">
        <f>_xlfn.XLOOKUP(64,OfficialTeamList[Row],OfficialTeamList[Team Number],"ERROR",0)</f>
        <v>0</v>
      </c>
      <c r="B65" s="20" t="str">
        <f>_xlfn.XLOOKUP(RobotDesignResults[[#This Row],[Team Number]],OfficialTeamList[Team Number],OfficialTeamList[Team Name],"",0,)</f>
        <v/>
      </c>
      <c r="C65" s="12"/>
      <c r="D65" s="12"/>
      <c r="E65" s="12"/>
      <c r="F65" s="12"/>
      <c r="G65" s="12"/>
      <c r="H65" s="12"/>
      <c r="I65" s="12"/>
      <c r="J65" s="12"/>
      <c r="K65" s="12"/>
      <c r="L65" s="12"/>
      <c r="M65" s="8">
        <f>SUM(RobotDesignResults[[#This Row],[Identify 1]:[Communicate 2 (CV)]])</f>
        <v>0</v>
      </c>
      <c r="N65" s="21">
        <f>IF(RobotDesignResults[[#This Row],[Team Number]]&gt;0,MIN(_xlfn.RANK.EQ(RobotDesignResults[[#This Row],[Engineering Design Score]],RobotDesignResults[Engineering Design Score],0),NumberOfTeams),NumberOfTeams+1)</f>
        <v>9</v>
      </c>
    </row>
    <row r="66" spans="1:14" ht="30" customHeight="1" x14ac:dyDescent="0.25">
      <c r="A66" s="8">
        <f>_xlfn.XLOOKUP(65,OfficialTeamList[Row],OfficialTeamList[Team Number],"ERROR",0)</f>
        <v>0</v>
      </c>
      <c r="B66" s="20" t="str">
        <f>_xlfn.XLOOKUP(RobotDesignResults[[#This Row],[Team Number]],OfficialTeamList[Team Number],OfficialTeamList[Team Name],"",0,)</f>
        <v/>
      </c>
      <c r="C66" s="12"/>
      <c r="D66" s="12"/>
      <c r="E66" s="12"/>
      <c r="F66" s="12"/>
      <c r="G66" s="12"/>
      <c r="H66" s="12"/>
      <c r="I66" s="12"/>
      <c r="J66" s="12"/>
      <c r="K66" s="12"/>
      <c r="L66" s="12"/>
      <c r="M66" s="8">
        <f>SUM(RobotDesignResults[[#This Row],[Identify 1]:[Communicate 2 (CV)]])</f>
        <v>0</v>
      </c>
      <c r="N66" s="21">
        <f>IF(RobotDesignResults[[#This Row],[Team Number]]&gt;0,MIN(_xlfn.RANK.EQ(RobotDesignResults[[#This Row],[Engineering Design Score]],RobotDesignResults[Engineering Design Score],0),NumberOfTeams),NumberOfTeams+1)</f>
        <v>9</v>
      </c>
    </row>
    <row r="67" spans="1:14" ht="30" customHeight="1" x14ac:dyDescent="0.25">
      <c r="A67" s="8">
        <f>_xlfn.XLOOKUP(66,OfficialTeamList[Row],OfficialTeamList[Team Number],"ERROR",0)</f>
        <v>0</v>
      </c>
      <c r="B67" s="20" t="str">
        <f>_xlfn.XLOOKUP(RobotDesignResults[[#This Row],[Team Number]],OfficialTeamList[Team Number],OfficialTeamList[Team Name],"",0,)</f>
        <v/>
      </c>
      <c r="C67" s="12"/>
      <c r="D67" s="12"/>
      <c r="E67" s="12"/>
      <c r="F67" s="12"/>
      <c r="G67" s="12"/>
      <c r="H67" s="12"/>
      <c r="I67" s="12"/>
      <c r="J67" s="12"/>
      <c r="K67" s="12"/>
      <c r="L67" s="12"/>
      <c r="M67" s="8">
        <f>SUM(RobotDesignResults[[#This Row],[Identify 1]:[Communicate 2 (CV)]])</f>
        <v>0</v>
      </c>
      <c r="N67" s="21">
        <f>IF(RobotDesignResults[[#This Row],[Team Number]]&gt;0,MIN(_xlfn.RANK.EQ(RobotDesignResults[[#This Row],[Engineering Design Score]],RobotDesignResults[Engineering Design Score],0),NumberOfTeams),NumberOfTeams+1)</f>
        <v>9</v>
      </c>
    </row>
    <row r="68" spans="1:14" ht="30" customHeight="1" x14ac:dyDescent="0.25">
      <c r="A68" s="8">
        <f>_xlfn.XLOOKUP(67,OfficialTeamList[Row],OfficialTeamList[Team Number],"ERROR",0)</f>
        <v>0</v>
      </c>
      <c r="B68" s="20" t="str">
        <f>_xlfn.XLOOKUP(RobotDesignResults[[#This Row],[Team Number]],OfficialTeamList[Team Number],OfficialTeamList[Team Name],"",0,)</f>
        <v/>
      </c>
      <c r="C68" s="12"/>
      <c r="D68" s="12"/>
      <c r="E68" s="12"/>
      <c r="F68" s="12"/>
      <c r="G68" s="12"/>
      <c r="H68" s="12"/>
      <c r="I68" s="12"/>
      <c r="J68" s="12"/>
      <c r="K68" s="12"/>
      <c r="L68" s="12"/>
      <c r="M68" s="8">
        <f>SUM(RobotDesignResults[[#This Row],[Identify 1]:[Communicate 2 (CV)]])</f>
        <v>0</v>
      </c>
      <c r="N68" s="21">
        <f>IF(RobotDesignResults[[#This Row],[Team Number]]&gt;0,MIN(_xlfn.RANK.EQ(RobotDesignResults[[#This Row],[Engineering Design Score]],RobotDesignResults[Engineering Design Score],0),NumberOfTeams),NumberOfTeams+1)</f>
        <v>9</v>
      </c>
    </row>
    <row r="69" spans="1:14" ht="30" customHeight="1" x14ac:dyDescent="0.25">
      <c r="A69" s="8">
        <f>_xlfn.XLOOKUP(68,OfficialTeamList[Row],OfficialTeamList[Team Number],"ERROR",0)</f>
        <v>0</v>
      </c>
      <c r="B69" s="20" t="str">
        <f>_xlfn.XLOOKUP(RobotDesignResults[[#This Row],[Team Number]],OfficialTeamList[Team Number],OfficialTeamList[Team Name],"",0,)</f>
        <v/>
      </c>
      <c r="C69" s="12"/>
      <c r="D69" s="12"/>
      <c r="E69" s="12"/>
      <c r="F69" s="12"/>
      <c r="G69" s="12"/>
      <c r="H69" s="12"/>
      <c r="I69" s="12"/>
      <c r="J69" s="12"/>
      <c r="K69" s="12"/>
      <c r="L69" s="12"/>
      <c r="M69" s="8">
        <f>SUM(RobotDesignResults[[#This Row],[Identify 1]:[Communicate 2 (CV)]])</f>
        <v>0</v>
      </c>
      <c r="N69" s="21">
        <f>IF(RobotDesignResults[[#This Row],[Team Number]]&gt;0,MIN(_xlfn.RANK.EQ(RobotDesignResults[[#This Row],[Engineering Design Score]],RobotDesignResults[Engineering Design Score],0),NumberOfTeams),NumberOfTeams+1)</f>
        <v>9</v>
      </c>
    </row>
    <row r="70" spans="1:14" ht="30" customHeight="1" x14ac:dyDescent="0.25">
      <c r="A70" s="8">
        <f>_xlfn.XLOOKUP(69,OfficialTeamList[Row],OfficialTeamList[Team Number],"ERROR",0)</f>
        <v>0</v>
      </c>
      <c r="B70" s="20" t="str">
        <f>_xlfn.XLOOKUP(RobotDesignResults[[#This Row],[Team Number]],OfficialTeamList[Team Number],OfficialTeamList[Team Name],"",0,)</f>
        <v/>
      </c>
      <c r="C70" s="12"/>
      <c r="D70" s="12"/>
      <c r="E70" s="12"/>
      <c r="F70" s="12"/>
      <c r="G70" s="12"/>
      <c r="H70" s="12"/>
      <c r="I70" s="12"/>
      <c r="J70" s="12"/>
      <c r="K70" s="12"/>
      <c r="L70" s="12"/>
      <c r="M70" s="8">
        <f>SUM(RobotDesignResults[[#This Row],[Identify 1]:[Communicate 2 (CV)]])</f>
        <v>0</v>
      </c>
      <c r="N70" s="21">
        <f>IF(RobotDesignResults[[#This Row],[Team Number]]&gt;0,MIN(_xlfn.RANK.EQ(RobotDesignResults[[#This Row],[Engineering Design Score]],RobotDesignResults[Engineering Design Score],0),NumberOfTeams),NumberOfTeams+1)</f>
        <v>9</v>
      </c>
    </row>
    <row r="71" spans="1:14" ht="30" customHeight="1" x14ac:dyDescent="0.25">
      <c r="A71" s="8">
        <f>_xlfn.XLOOKUP(70,OfficialTeamList[Row],OfficialTeamList[Team Number],"ERROR",0)</f>
        <v>0</v>
      </c>
      <c r="B71" s="20" t="str">
        <f>_xlfn.XLOOKUP(RobotDesignResults[[#This Row],[Team Number]],OfficialTeamList[Team Number],OfficialTeamList[Team Name],"",0,)</f>
        <v/>
      </c>
      <c r="C71" s="12"/>
      <c r="D71" s="12"/>
      <c r="E71" s="12"/>
      <c r="F71" s="12"/>
      <c r="G71" s="12"/>
      <c r="H71" s="12"/>
      <c r="I71" s="12"/>
      <c r="J71" s="12"/>
      <c r="K71" s="12"/>
      <c r="L71" s="12"/>
      <c r="M71" s="8">
        <f>SUM(RobotDesignResults[[#This Row],[Identify 1]:[Communicate 2 (CV)]])</f>
        <v>0</v>
      </c>
      <c r="N71" s="21">
        <f>IF(RobotDesignResults[[#This Row],[Team Number]]&gt;0,MIN(_xlfn.RANK.EQ(RobotDesignResults[[#This Row],[Engineering Design Score]],RobotDesignResults[Engineering Design Score],0),NumberOfTeams),NumberOfTeams+1)</f>
        <v>9</v>
      </c>
    </row>
    <row r="72" spans="1:14" ht="30" customHeight="1" x14ac:dyDescent="0.25">
      <c r="A72" s="8">
        <f>_xlfn.XLOOKUP(71,OfficialTeamList[Row],OfficialTeamList[Team Number],"ERROR",0)</f>
        <v>0</v>
      </c>
      <c r="B72" s="20" t="str">
        <f>_xlfn.XLOOKUP(RobotDesignResults[[#This Row],[Team Number]],OfficialTeamList[Team Number],OfficialTeamList[Team Name],"",0,)</f>
        <v/>
      </c>
      <c r="C72" s="12"/>
      <c r="D72" s="12"/>
      <c r="E72" s="12"/>
      <c r="F72" s="12"/>
      <c r="G72" s="12"/>
      <c r="H72" s="12"/>
      <c r="I72" s="12"/>
      <c r="J72" s="12"/>
      <c r="K72" s="12"/>
      <c r="L72" s="12"/>
      <c r="M72" s="8">
        <f>SUM(RobotDesignResults[[#This Row],[Identify 1]:[Communicate 2 (CV)]])</f>
        <v>0</v>
      </c>
      <c r="N72" s="21">
        <f>IF(RobotDesignResults[[#This Row],[Team Number]]&gt;0,MIN(_xlfn.RANK.EQ(RobotDesignResults[[#This Row],[Engineering Design Score]],RobotDesignResults[Engineering Design Score],0),NumberOfTeams),NumberOfTeams+1)</f>
        <v>9</v>
      </c>
    </row>
    <row r="73" spans="1:14" ht="30" customHeight="1" x14ac:dyDescent="0.25">
      <c r="A73" s="8">
        <f>_xlfn.XLOOKUP(72,OfficialTeamList[Row],OfficialTeamList[Team Number],"ERROR",0)</f>
        <v>0</v>
      </c>
      <c r="B73" s="20" t="str">
        <f>_xlfn.XLOOKUP(RobotDesignResults[[#This Row],[Team Number]],OfficialTeamList[Team Number],OfficialTeamList[Team Name],"",0,)</f>
        <v/>
      </c>
      <c r="C73" s="12"/>
      <c r="D73" s="12"/>
      <c r="E73" s="12"/>
      <c r="F73" s="12"/>
      <c r="G73" s="12"/>
      <c r="H73" s="12"/>
      <c r="I73" s="12"/>
      <c r="J73" s="12"/>
      <c r="K73" s="12"/>
      <c r="L73" s="12"/>
      <c r="M73" s="8">
        <f>SUM(RobotDesignResults[[#This Row],[Identify 1]:[Communicate 2 (CV)]])</f>
        <v>0</v>
      </c>
      <c r="N73" s="21">
        <f>IF(RobotDesignResults[[#This Row],[Team Number]]&gt;0,MIN(_xlfn.RANK.EQ(RobotDesignResults[[#This Row],[Engineering Design Score]],RobotDesignResults[Engineering Design Score],0),NumberOfTeams),NumberOfTeams+1)</f>
        <v>9</v>
      </c>
    </row>
    <row r="74" spans="1:14" ht="30" customHeight="1" x14ac:dyDescent="0.25">
      <c r="A74" s="8">
        <f>_xlfn.XLOOKUP(73,OfficialTeamList[Row],OfficialTeamList[Team Number],"ERROR",0)</f>
        <v>0</v>
      </c>
      <c r="B74" s="20" t="str">
        <f>_xlfn.XLOOKUP(RobotDesignResults[[#This Row],[Team Number]],OfficialTeamList[Team Number],OfficialTeamList[Team Name],"",0,)</f>
        <v/>
      </c>
      <c r="C74" s="12"/>
      <c r="D74" s="12"/>
      <c r="E74" s="12"/>
      <c r="F74" s="12"/>
      <c r="G74" s="12"/>
      <c r="H74" s="12"/>
      <c r="I74" s="12"/>
      <c r="J74" s="12"/>
      <c r="K74" s="12"/>
      <c r="L74" s="12"/>
      <c r="M74" s="8">
        <f>SUM(RobotDesignResults[[#This Row],[Identify 1]:[Communicate 2 (CV)]])</f>
        <v>0</v>
      </c>
      <c r="N74" s="21">
        <f>IF(RobotDesignResults[[#This Row],[Team Number]]&gt;0,MIN(_xlfn.RANK.EQ(RobotDesignResults[[#This Row],[Engineering Design Score]],RobotDesignResults[Engineering Design Score],0),NumberOfTeams),NumberOfTeams+1)</f>
        <v>9</v>
      </c>
    </row>
    <row r="75" spans="1:14" ht="30" customHeight="1" x14ac:dyDescent="0.25">
      <c r="A75" s="8">
        <f>_xlfn.XLOOKUP(74,OfficialTeamList[Row],OfficialTeamList[Team Number],"ERROR",0)</f>
        <v>0</v>
      </c>
      <c r="B75" s="20" t="str">
        <f>_xlfn.XLOOKUP(RobotDesignResults[[#This Row],[Team Number]],OfficialTeamList[Team Number],OfficialTeamList[Team Name],"",0,)</f>
        <v/>
      </c>
      <c r="C75" s="12"/>
      <c r="D75" s="12"/>
      <c r="E75" s="12"/>
      <c r="F75" s="12"/>
      <c r="G75" s="12"/>
      <c r="H75" s="12"/>
      <c r="I75" s="12"/>
      <c r="J75" s="12"/>
      <c r="K75" s="12"/>
      <c r="L75" s="12"/>
      <c r="M75" s="8">
        <f>SUM(RobotDesignResults[[#This Row],[Identify 1]:[Communicate 2 (CV)]])</f>
        <v>0</v>
      </c>
      <c r="N75" s="21">
        <f>IF(RobotDesignResults[[#This Row],[Team Number]]&gt;0,MIN(_xlfn.RANK.EQ(RobotDesignResults[[#This Row],[Engineering Design Score]],RobotDesignResults[Engineering Design Score],0),NumberOfTeams),NumberOfTeams+1)</f>
        <v>9</v>
      </c>
    </row>
    <row r="76" spans="1:14" ht="30" customHeight="1" x14ac:dyDescent="0.25">
      <c r="A76" s="8">
        <f>_xlfn.XLOOKUP(75,OfficialTeamList[Row],OfficialTeamList[Team Number],"ERROR",0)</f>
        <v>0</v>
      </c>
      <c r="B76" s="20" t="str">
        <f>_xlfn.XLOOKUP(RobotDesignResults[[#This Row],[Team Number]],OfficialTeamList[Team Number],OfficialTeamList[Team Name],"",0,)</f>
        <v/>
      </c>
      <c r="C76" s="12"/>
      <c r="D76" s="12"/>
      <c r="E76" s="12"/>
      <c r="F76" s="12"/>
      <c r="G76" s="12"/>
      <c r="H76" s="12"/>
      <c r="I76" s="12"/>
      <c r="J76" s="12"/>
      <c r="K76" s="12"/>
      <c r="L76" s="12"/>
      <c r="M76" s="8">
        <f>SUM(RobotDesignResults[[#This Row],[Identify 1]:[Communicate 2 (CV)]])</f>
        <v>0</v>
      </c>
      <c r="N76" s="21">
        <f>IF(RobotDesignResults[[#This Row],[Team Number]]&gt;0,MIN(_xlfn.RANK.EQ(RobotDesignResults[[#This Row],[Engineering Design Score]],RobotDesignResults[Engineering Design Score],0),NumberOfTeams),NumberOfTeams+1)</f>
        <v>9</v>
      </c>
    </row>
    <row r="77" spans="1:14" ht="30" customHeight="1" x14ac:dyDescent="0.25">
      <c r="A77" s="8">
        <f>_xlfn.XLOOKUP(76,OfficialTeamList[Row],OfficialTeamList[Team Number],"ERROR",0)</f>
        <v>0</v>
      </c>
      <c r="B77" s="20" t="str">
        <f>_xlfn.XLOOKUP(RobotDesignResults[[#This Row],[Team Number]],OfficialTeamList[Team Number],OfficialTeamList[Team Name],"",0,)</f>
        <v/>
      </c>
      <c r="C77" s="12"/>
      <c r="D77" s="12"/>
      <c r="E77" s="12"/>
      <c r="F77" s="12"/>
      <c r="G77" s="12"/>
      <c r="H77" s="12"/>
      <c r="I77" s="12"/>
      <c r="J77" s="12"/>
      <c r="K77" s="12"/>
      <c r="L77" s="12"/>
      <c r="M77" s="8">
        <f>SUM(RobotDesignResults[[#This Row],[Identify 1]:[Communicate 2 (CV)]])</f>
        <v>0</v>
      </c>
      <c r="N77" s="21">
        <f>IF(RobotDesignResults[[#This Row],[Team Number]]&gt;0,MIN(_xlfn.RANK.EQ(RobotDesignResults[[#This Row],[Engineering Design Score]],RobotDesignResults[Engineering Design Score],0),NumberOfTeams),NumberOfTeams+1)</f>
        <v>9</v>
      </c>
    </row>
    <row r="78" spans="1:14" ht="30" customHeight="1" x14ac:dyDescent="0.25">
      <c r="A78" s="8">
        <f>_xlfn.XLOOKUP(77,OfficialTeamList[Row],OfficialTeamList[Team Number],"ERROR",0)</f>
        <v>0</v>
      </c>
      <c r="B78" s="20" t="str">
        <f>_xlfn.XLOOKUP(RobotDesignResults[[#This Row],[Team Number]],OfficialTeamList[Team Number],OfficialTeamList[Team Name],"",0,)</f>
        <v/>
      </c>
      <c r="C78" s="12"/>
      <c r="D78" s="12"/>
      <c r="E78" s="12"/>
      <c r="F78" s="12"/>
      <c r="G78" s="12"/>
      <c r="H78" s="12"/>
      <c r="I78" s="12"/>
      <c r="J78" s="12"/>
      <c r="K78" s="12"/>
      <c r="L78" s="12"/>
      <c r="M78" s="8">
        <f>SUM(RobotDesignResults[[#This Row],[Identify 1]:[Communicate 2 (CV)]])</f>
        <v>0</v>
      </c>
      <c r="N78" s="21">
        <f>IF(RobotDesignResults[[#This Row],[Team Number]]&gt;0,MIN(_xlfn.RANK.EQ(RobotDesignResults[[#This Row],[Engineering Design Score]],RobotDesignResults[Engineering Design Score],0),NumberOfTeams),NumberOfTeams+1)</f>
        <v>9</v>
      </c>
    </row>
    <row r="79" spans="1:14" ht="30" customHeight="1" x14ac:dyDescent="0.25">
      <c r="A79" s="8">
        <f>_xlfn.XLOOKUP(78,OfficialTeamList[Row],OfficialTeamList[Team Number],"ERROR",0)</f>
        <v>0</v>
      </c>
      <c r="B79" s="20" t="str">
        <f>_xlfn.XLOOKUP(RobotDesignResults[[#This Row],[Team Number]],OfficialTeamList[Team Number],OfficialTeamList[Team Name],"",0,)</f>
        <v/>
      </c>
      <c r="C79" s="12"/>
      <c r="D79" s="12"/>
      <c r="E79" s="12"/>
      <c r="F79" s="12"/>
      <c r="G79" s="12"/>
      <c r="H79" s="12"/>
      <c r="I79" s="12"/>
      <c r="J79" s="12"/>
      <c r="K79" s="12"/>
      <c r="L79" s="12"/>
      <c r="M79" s="8">
        <f>SUM(RobotDesignResults[[#This Row],[Identify 1]:[Communicate 2 (CV)]])</f>
        <v>0</v>
      </c>
      <c r="N79" s="21">
        <f>IF(RobotDesignResults[[#This Row],[Team Number]]&gt;0,MIN(_xlfn.RANK.EQ(RobotDesignResults[[#This Row],[Engineering Design Score]],RobotDesignResults[Engineering Design Score],0),NumberOfTeams),NumberOfTeams+1)</f>
        <v>9</v>
      </c>
    </row>
    <row r="80" spans="1:14" ht="30" customHeight="1" x14ac:dyDescent="0.25">
      <c r="A80" s="8">
        <f>_xlfn.XLOOKUP(79,OfficialTeamList[Row],OfficialTeamList[Team Number],"ERROR",0)</f>
        <v>0</v>
      </c>
      <c r="B80" s="20" t="str">
        <f>_xlfn.XLOOKUP(RobotDesignResults[[#This Row],[Team Number]],OfficialTeamList[Team Number],OfficialTeamList[Team Name],"",0,)</f>
        <v/>
      </c>
      <c r="C80" s="12"/>
      <c r="D80" s="12"/>
      <c r="E80" s="12"/>
      <c r="F80" s="12"/>
      <c r="G80" s="12"/>
      <c r="H80" s="12"/>
      <c r="I80" s="12"/>
      <c r="J80" s="12"/>
      <c r="K80" s="12"/>
      <c r="L80" s="12"/>
      <c r="M80" s="8">
        <f>SUM(RobotDesignResults[[#This Row],[Identify 1]:[Communicate 2 (CV)]])</f>
        <v>0</v>
      </c>
      <c r="N80" s="21">
        <f>IF(RobotDesignResults[[#This Row],[Team Number]]&gt;0,MIN(_xlfn.RANK.EQ(RobotDesignResults[[#This Row],[Engineering Design Score]],RobotDesignResults[Engineering Design Score],0),NumberOfTeams),NumberOfTeams+1)</f>
        <v>9</v>
      </c>
    </row>
    <row r="81" spans="1:14" ht="30" customHeight="1" x14ac:dyDescent="0.25">
      <c r="A81" s="8">
        <f>_xlfn.XLOOKUP(80,OfficialTeamList[Row],OfficialTeamList[Team Number],"ERROR",0)</f>
        <v>0</v>
      </c>
      <c r="B81" s="20" t="str">
        <f>_xlfn.XLOOKUP(RobotDesignResults[[#This Row],[Team Number]],OfficialTeamList[Team Number],OfficialTeamList[Team Name],"",0,)</f>
        <v/>
      </c>
      <c r="C81" s="12"/>
      <c r="D81" s="12"/>
      <c r="E81" s="12"/>
      <c r="F81" s="12"/>
      <c r="G81" s="12"/>
      <c r="H81" s="12"/>
      <c r="I81" s="12"/>
      <c r="J81" s="12"/>
      <c r="K81" s="12"/>
      <c r="L81" s="12"/>
      <c r="M81" s="8">
        <f>SUM(RobotDesignResults[[#This Row],[Identify 1]:[Communicate 2 (CV)]])</f>
        <v>0</v>
      </c>
      <c r="N81" s="21">
        <f>IF(RobotDesignResults[[#This Row],[Team Number]]&gt;0,MIN(_xlfn.RANK.EQ(RobotDesignResults[[#This Row],[Engineering Design Score]],RobotDesignResults[Engineering Design Score],0),NumberOfTeams),NumberOfTeams+1)</f>
        <v>9</v>
      </c>
    </row>
    <row r="82" spans="1:14" ht="30" customHeight="1" x14ac:dyDescent="0.25">
      <c r="A82" s="8">
        <f>_xlfn.XLOOKUP(81,OfficialTeamList[Row],OfficialTeamList[Team Number],"ERROR",0)</f>
        <v>0</v>
      </c>
      <c r="B82" s="20" t="str">
        <f>_xlfn.XLOOKUP(RobotDesignResults[[#This Row],[Team Number]],OfficialTeamList[Team Number],OfficialTeamList[Team Name],"",0,)</f>
        <v/>
      </c>
      <c r="C82" s="12"/>
      <c r="D82" s="12"/>
      <c r="E82" s="12"/>
      <c r="F82" s="12"/>
      <c r="G82" s="12"/>
      <c r="H82" s="12"/>
      <c r="I82" s="12"/>
      <c r="J82" s="12"/>
      <c r="K82" s="12"/>
      <c r="L82" s="12"/>
      <c r="M82" s="8">
        <f>SUM(RobotDesignResults[[#This Row],[Identify 1]:[Communicate 2 (CV)]])</f>
        <v>0</v>
      </c>
      <c r="N82" s="21">
        <f>IF(RobotDesignResults[[#This Row],[Team Number]]&gt;0,MIN(_xlfn.RANK.EQ(RobotDesignResults[[#This Row],[Engineering Design Score]],RobotDesignResults[Engineering Design Score],0),NumberOfTeams),NumberOfTeams+1)</f>
        <v>9</v>
      </c>
    </row>
    <row r="83" spans="1:14" ht="30" customHeight="1" x14ac:dyDescent="0.25">
      <c r="A83" s="8">
        <f>_xlfn.XLOOKUP(82,OfficialTeamList[Row],OfficialTeamList[Team Number],"ERROR",0)</f>
        <v>0</v>
      </c>
      <c r="B83" s="20" t="str">
        <f>_xlfn.XLOOKUP(RobotDesignResults[[#This Row],[Team Number]],OfficialTeamList[Team Number],OfficialTeamList[Team Name],"",0,)</f>
        <v/>
      </c>
      <c r="C83" s="12"/>
      <c r="D83" s="12"/>
      <c r="E83" s="12"/>
      <c r="F83" s="12"/>
      <c r="G83" s="12"/>
      <c r="H83" s="12"/>
      <c r="I83" s="12"/>
      <c r="J83" s="12"/>
      <c r="K83" s="12"/>
      <c r="L83" s="12"/>
      <c r="M83" s="8">
        <f>SUM(RobotDesignResults[[#This Row],[Identify 1]:[Communicate 2 (CV)]])</f>
        <v>0</v>
      </c>
      <c r="N83" s="21">
        <f>IF(RobotDesignResults[[#This Row],[Team Number]]&gt;0,MIN(_xlfn.RANK.EQ(RobotDesignResults[[#This Row],[Engineering Design Score]],RobotDesignResults[Engineering Design Score],0),NumberOfTeams),NumberOfTeams+1)</f>
        <v>9</v>
      </c>
    </row>
    <row r="84" spans="1:14" ht="30" customHeight="1" x14ac:dyDescent="0.25">
      <c r="A84" s="8">
        <f>_xlfn.XLOOKUP(83,OfficialTeamList[Row],OfficialTeamList[Team Number],"ERROR",0)</f>
        <v>0</v>
      </c>
      <c r="B84" s="20" t="str">
        <f>_xlfn.XLOOKUP(RobotDesignResults[[#This Row],[Team Number]],OfficialTeamList[Team Number],OfficialTeamList[Team Name],"",0,)</f>
        <v/>
      </c>
      <c r="C84" s="12"/>
      <c r="D84" s="12"/>
      <c r="E84" s="12"/>
      <c r="F84" s="12"/>
      <c r="G84" s="12"/>
      <c r="H84" s="12"/>
      <c r="I84" s="12"/>
      <c r="J84" s="12"/>
      <c r="K84" s="12"/>
      <c r="L84" s="12"/>
      <c r="M84" s="8">
        <f>SUM(RobotDesignResults[[#This Row],[Identify 1]:[Communicate 2 (CV)]])</f>
        <v>0</v>
      </c>
      <c r="N84" s="21">
        <f>IF(RobotDesignResults[[#This Row],[Team Number]]&gt;0,MIN(_xlfn.RANK.EQ(RobotDesignResults[[#This Row],[Engineering Design Score]],RobotDesignResults[Engineering Design Score],0),NumberOfTeams),NumberOfTeams+1)</f>
        <v>9</v>
      </c>
    </row>
    <row r="85" spans="1:14" ht="30" customHeight="1" x14ac:dyDescent="0.25">
      <c r="A85" s="8">
        <f>_xlfn.XLOOKUP(84,OfficialTeamList[Row],OfficialTeamList[Team Number],"ERROR",0)</f>
        <v>0</v>
      </c>
      <c r="B85" s="20" t="str">
        <f>_xlfn.XLOOKUP(RobotDesignResults[[#This Row],[Team Number]],OfficialTeamList[Team Number],OfficialTeamList[Team Name],"",0,)</f>
        <v/>
      </c>
      <c r="C85" s="12"/>
      <c r="D85" s="12"/>
      <c r="E85" s="12"/>
      <c r="F85" s="12"/>
      <c r="G85" s="12"/>
      <c r="H85" s="12"/>
      <c r="I85" s="12"/>
      <c r="J85" s="12"/>
      <c r="K85" s="12"/>
      <c r="L85" s="12"/>
      <c r="M85" s="8">
        <f>SUM(RobotDesignResults[[#This Row],[Identify 1]:[Communicate 2 (CV)]])</f>
        <v>0</v>
      </c>
      <c r="N85" s="21">
        <f>IF(RobotDesignResults[[#This Row],[Team Number]]&gt;0,MIN(_xlfn.RANK.EQ(RobotDesignResults[[#This Row],[Engineering Design Score]],RobotDesignResults[Engineering Design Score],0),NumberOfTeams),NumberOfTeams+1)</f>
        <v>9</v>
      </c>
    </row>
    <row r="86" spans="1:14" ht="30" customHeight="1" x14ac:dyDescent="0.25">
      <c r="A86" s="8">
        <f>_xlfn.XLOOKUP(85,OfficialTeamList[Row],OfficialTeamList[Team Number],"ERROR",0)</f>
        <v>0</v>
      </c>
      <c r="B86" s="20" t="str">
        <f>_xlfn.XLOOKUP(RobotDesignResults[[#This Row],[Team Number]],OfficialTeamList[Team Number],OfficialTeamList[Team Name],"",0,)</f>
        <v/>
      </c>
      <c r="C86" s="12"/>
      <c r="D86" s="12"/>
      <c r="E86" s="12"/>
      <c r="F86" s="12"/>
      <c r="G86" s="12"/>
      <c r="H86" s="12"/>
      <c r="I86" s="12"/>
      <c r="J86" s="12"/>
      <c r="K86" s="12"/>
      <c r="L86" s="12"/>
      <c r="M86" s="8">
        <f>SUM(RobotDesignResults[[#This Row],[Identify 1]:[Communicate 2 (CV)]])</f>
        <v>0</v>
      </c>
      <c r="N86" s="21">
        <f>IF(RobotDesignResults[[#This Row],[Team Number]]&gt;0,MIN(_xlfn.RANK.EQ(RobotDesignResults[[#This Row],[Engineering Design Score]],RobotDesignResults[Engineering Design Score],0),NumberOfTeams),NumberOfTeams+1)</f>
        <v>9</v>
      </c>
    </row>
    <row r="87" spans="1:14" ht="30" customHeight="1" x14ac:dyDescent="0.25">
      <c r="A87" s="8">
        <f>_xlfn.XLOOKUP(86,OfficialTeamList[Row],OfficialTeamList[Team Number],"ERROR",0)</f>
        <v>0</v>
      </c>
      <c r="B87" s="20" t="str">
        <f>_xlfn.XLOOKUP(RobotDesignResults[[#This Row],[Team Number]],OfficialTeamList[Team Number],OfficialTeamList[Team Name],"",0,)</f>
        <v/>
      </c>
      <c r="C87" s="12"/>
      <c r="D87" s="12"/>
      <c r="E87" s="12"/>
      <c r="F87" s="12"/>
      <c r="G87" s="12"/>
      <c r="H87" s="12"/>
      <c r="I87" s="12"/>
      <c r="J87" s="12"/>
      <c r="K87" s="12"/>
      <c r="L87" s="12"/>
      <c r="M87" s="8">
        <f>SUM(RobotDesignResults[[#This Row],[Identify 1]:[Communicate 2 (CV)]])</f>
        <v>0</v>
      </c>
      <c r="N87" s="21">
        <f>IF(RobotDesignResults[[#This Row],[Team Number]]&gt;0,MIN(_xlfn.RANK.EQ(RobotDesignResults[[#This Row],[Engineering Design Score]],RobotDesignResults[Engineering Design Score],0),NumberOfTeams),NumberOfTeams+1)</f>
        <v>9</v>
      </c>
    </row>
    <row r="88" spans="1:14" ht="30" customHeight="1" x14ac:dyDescent="0.25">
      <c r="A88" s="8">
        <f>_xlfn.XLOOKUP(87,OfficialTeamList[Row],OfficialTeamList[Team Number],"ERROR",0)</f>
        <v>0</v>
      </c>
      <c r="B88" s="20" t="str">
        <f>_xlfn.XLOOKUP(RobotDesignResults[[#This Row],[Team Number]],OfficialTeamList[Team Number],OfficialTeamList[Team Name],"",0,)</f>
        <v/>
      </c>
      <c r="C88" s="12"/>
      <c r="D88" s="12"/>
      <c r="E88" s="12"/>
      <c r="F88" s="12"/>
      <c r="G88" s="12"/>
      <c r="H88" s="12"/>
      <c r="I88" s="12"/>
      <c r="J88" s="12"/>
      <c r="K88" s="12"/>
      <c r="L88" s="12"/>
      <c r="M88" s="8">
        <f>SUM(RobotDesignResults[[#This Row],[Identify 1]:[Communicate 2 (CV)]])</f>
        <v>0</v>
      </c>
      <c r="N88" s="21">
        <f>IF(RobotDesignResults[[#This Row],[Team Number]]&gt;0,MIN(_xlfn.RANK.EQ(RobotDesignResults[[#This Row],[Engineering Design Score]],RobotDesignResults[Engineering Design Score],0),NumberOfTeams),NumberOfTeams+1)</f>
        <v>9</v>
      </c>
    </row>
    <row r="89" spans="1:14" ht="30" customHeight="1" x14ac:dyDescent="0.25">
      <c r="A89" s="8">
        <f>_xlfn.XLOOKUP(88,OfficialTeamList[Row],OfficialTeamList[Team Number],"ERROR",0)</f>
        <v>0</v>
      </c>
      <c r="B89" s="20" t="str">
        <f>_xlfn.XLOOKUP(RobotDesignResults[[#This Row],[Team Number]],OfficialTeamList[Team Number],OfficialTeamList[Team Name],"",0,)</f>
        <v/>
      </c>
      <c r="C89" s="12"/>
      <c r="D89" s="12"/>
      <c r="E89" s="12"/>
      <c r="F89" s="12"/>
      <c r="G89" s="12"/>
      <c r="H89" s="12"/>
      <c r="I89" s="12"/>
      <c r="J89" s="12"/>
      <c r="K89" s="12"/>
      <c r="L89" s="12"/>
      <c r="M89" s="8">
        <f>SUM(RobotDesignResults[[#This Row],[Identify 1]:[Communicate 2 (CV)]])</f>
        <v>0</v>
      </c>
      <c r="N89" s="21">
        <f>IF(RobotDesignResults[[#This Row],[Team Number]]&gt;0,MIN(_xlfn.RANK.EQ(RobotDesignResults[[#This Row],[Engineering Design Score]],RobotDesignResults[Engineering Design Score],0),NumberOfTeams),NumberOfTeams+1)</f>
        <v>9</v>
      </c>
    </row>
    <row r="90" spans="1:14" ht="30" customHeight="1" x14ac:dyDescent="0.25">
      <c r="A90" s="8">
        <f>_xlfn.XLOOKUP(89,OfficialTeamList[Row],OfficialTeamList[Team Number],"ERROR",0)</f>
        <v>0</v>
      </c>
      <c r="B90" s="20" t="str">
        <f>_xlfn.XLOOKUP(RobotDesignResults[[#This Row],[Team Number]],OfficialTeamList[Team Number],OfficialTeamList[Team Name],"",0,)</f>
        <v/>
      </c>
      <c r="C90" s="12"/>
      <c r="D90" s="12"/>
      <c r="E90" s="12"/>
      <c r="F90" s="12"/>
      <c r="G90" s="12"/>
      <c r="H90" s="12"/>
      <c r="I90" s="12"/>
      <c r="J90" s="12"/>
      <c r="K90" s="12"/>
      <c r="L90" s="12"/>
      <c r="M90" s="8">
        <f>SUM(RobotDesignResults[[#This Row],[Identify 1]:[Communicate 2 (CV)]])</f>
        <v>0</v>
      </c>
      <c r="N90" s="21">
        <f>IF(RobotDesignResults[[#This Row],[Team Number]]&gt;0,MIN(_xlfn.RANK.EQ(RobotDesignResults[[#This Row],[Engineering Design Score]],RobotDesignResults[Engineering Design Score],0),NumberOfTeams),NumberOfTeams+1)</f>
        <v>9</v>
      </c>
    </row>
    <row r="91" spans="1:14" ht="30" customHeight="1" x14ac:dyDescent="0.25">
      <c r="A91" s="8">
        <f>_xlfn.XLOOKUP(90,OfficialTeamList[Row],OfficialTeamList[Team Number],"ERROR",0)</f>
        <v>0</v>
      </c>
      <c r="B91" s="20" t="str">
        <f>_xlfn.XLOOKUP(RobotDesignResults[[#This Row],[Team Number]],OfficialTeamList[Team Number],OfficialTeamList[Team Name],"",0,)</f>
        <v/>
      </c>
      <c r="C91" s="12"/>
      <c r="D91" s="12"/>
      <c r="E91" s="12"/>
      <c r="F91" s="12"/>
      <c r="G91" s="12"/>
      <c r="H91" s="12"/>
      <c r="I91" s="12"/>
      <c r="J91" s="12"/>
      <c r="K91" s="12"/>
      <c r="L91" s="12"/>
      <c r="M91" s="8">
        <f>SUM(RobotDesignResults[[#This Row],[Identify 1]:[Communicate 2 (CV)]])</f>
        <v>0</v>
      </c>
      <c r="N91" s="21">
        <f>IF(RobotDesignResults[[#This Row],[Team Number]]&gt;0,MIN(_xlfn.RANK.EQ(RobotDesignResults[[#This Row],[Engineering Design Score]],RobotDesignResults[Engineering Design Score],0),NumberOfTeams),NumberOfTeams+1)</f>
        <v>9</v>
      </c>
    </row>
    <row r="92" spans="1:14" ht="30" customHeight="1" x14ac:dyDescent="0.25">
      <c r="A92" s="8">
        <f>_xlfn.XLOOKUP(91,OfficialTeamList[Row],OfficialTeamList[Team Number],"ERROR",0)</f>
        <v>0</v>
      </c>
      <c r="B92" s="20" t="str">
        <f>_xlfn.XLOOKUP(RobotDesignResults[[#This Row],[Team Number]],OfficialTeamList[Team Number],OfficialTeamList[Team Name],"",0,)</f>
        <v/>
      </c>
      <c r="C92" s="12"/>
      <c r="D92" s="12"/>
      <c r="E92" s="12"/>
      <c r="F92" s="12"/>
      <c r="G92" s="12"/>
      <c r="H92" s="12"/>
      <c r="I92" s="12"/>
      <c r="J92" s="12"/>
      <c r="K92" s="12"/>
      <c r="L92" s="12"/>
      <c r="M92" s="8">
        <f>SUM(RobotDesignResults[[#This Row],[Identify 1]:[Communicate 2 (CV)]])</f>
        <v>0</v>
      </c>
      <c r="N92" s="21">
        <f>IF(RobotDesignResults[[#This Row],[Team Number]]&gt;0,MIN(_xlfn.RANK.EQ(RobotDesignResults[[#This Row],[Engineering Design Score]],RobotDesignResults[Engineering Design Score],0),NumberOfTeams),NumberOfTeams+1)</f>
        <v>9</v>
      </c>
    </row>
    <row r="93" spans="1:14" ht="30" customHeight="1" x14ac:dyDescent="0.25">
      <c r="A93" s="8">
        <f>_xlfn.XLOOKUP(92,OfficialTeamList[Row],OfficialTeamList[Team Number],"ERROR",0)</f>
        <v>0</v>
      </c>
      <c r="B93" s="20" t="str">
        <f>_xlfn.XLOOKUP(RobotDesignResults[[#This Row],[Team Number]],OfficialTeamList[Team Number],OfficialTeamList[Team Name],"",0,)</f>
        <v/>
      </c>
      <c r="C93" s="12"/>
      <c r="D93" s="12"/>
      <c r="E93" s="12"/>
      <c r="F93" s="12"/>
      <c r="G93" s="12"/>
      <c r="H93" s="12"/>
      <c r="I93" s="12"/>
      <c r="J93" s="12"/>
      <c r="K93" s="12"/>
      <c r="L93" s="12"/>
      <c r="M93" s="8">
        <f>SUM(RobotDesignResults[[#This Row],[Identify 1]:[Communicate 2 (CV)]])</f>
        <v>0</v>
      </c>
      <c r="N93" s="21">
        <f>IF(RobotDesignResults[[#This Row],[Team Number]]&gt;0,MIN(_xlfn.RANK.EQ(RobotDesignResults[[#This Row],[Engineering Design Score]],RobotDesignResults[Engineering Design Score],0),NumberOfTeams),NumberOfTeams+1)</f>
        <v>9</v>
      </c>
    </row>
    <row r="94" spans="1:14" ht="30" customHeight="1" x14ac:dyDescent="0.25">
      <c r="A94" s="8">
        <f>_xlfn.XLOOKUP(93,OfficialTeamList[Row],OfficialTeamList[Team Number],"ERROR",0)</f>
        <v>0</v>
      </c>
      <c r="B94" s="20" t="str">
        <f>_xlfn.XLOOKUP(RobotDesignResults[[#This Row],[Team Number]],OfficialTeamList[Team Number],OfficialTeamList[Team Name],"",0,)</f>
        <v/>
      </c>
      <c r="C94" s="12"/>
      <c r="D94" s="12"/>
      <c r="E94" s="12"/>
      <c r="F94" s="12"/>
      <c r="G94" s="12"/>
      <c r="H94" s="12"/>
      <c r="I94" s="12"/>
      <c r="J94" s="12"/>
      <c r="K94" s="12"/>
      <c r="L94" s="12"/>
      <c r="M94" s="8">
        <f>SUM(RobotDesignResults[[#This Row],[Identify 1]:[Communicate 2 (CV)]])</f>
        <v>0</v>
      </c>
      <c r="N94" s="21">
        <f>IF(RobotDesignResults[[#This Row],[Team Number]]&gt;0,MIN(_xlfn.RANK.EQ(RobotDesignResults[[#This Row],[Engineering Design Score]],RobotDesignResults[Engineering Design Score],0),NumberOfTeams),NumberOfTeams+1)</f>
        <v>9</v>
      </c>
    </row>
    <row r="95" spans="1:14" ht="30" customHeight="1" x14ac:dyDescent="0.25">
      <c r="A95" s="8">
        <f>_xlfn.XLOOKUP(94,OfficialTeamList[Row],OfficialTeamList[Team Number],"ERROR",0)</f>
        <v>0</v>
      </c>
      <c r="B95" s="20" t="str">
        <f>_xlfn.XLOOKUP(RobotDesignResults[[#This Row],[Team Number]],OfficialTeamList[Team Number],OfficialTeamList[Team Name],"",0,)</f>
        <v/>
      </c>
      <c r="C95" s="12"/>
      <c r="D95" s="12"/>
      <c r="E95" s="12"/>
      <c r="F95" s="12"/>
      <c r="G95" s="12"/>
      <c r="H95" s="12"/>
      <c r="I95" s="12"/>
      <c r="J95" s="12"/>
      <c r="K95" s="12"/>
      <c r="L95" s="12"/>
      <c r="M95" s="8">
        <f>SUM(RobotDesignResults[[#This Row],[Identify 1]:[Communicate 2 (CV)]])</f>
        <v>0</v>
      </c>
      <c r="N95" s="21">
        <f>IF(RobotDesignResults[[#This Row],[Team Number]]&gt;0,MIN(_xlfn.RANK.EQ(RobotDesignResults[[#This Row],[Engineering Design Score]],RobotDesignResults[Engineering Design Score],0),NumberOfTeams),NumberOfTeams+1)</f>
        <v>9</v>
      </c>
    </row>
    <row r="96" spans="1:14" ht="30" customHeight="1" x14ac:dyDescent="0.25">
      <c r="A96" s="8">
        <f>_xlfn.XLOOKUP(95,OfficialTeamList[Row],OfficialTeamList[Team Number],"ERROR",0)</f>
        <v>0</v>
      </c>
      <c r="B96" s="20" t="str">
        <f>_xlfn.XLOOKUP(RobotDesignResults[[#This Row],[Team Number]],OfficialTeamList[Team Number],OfficialTeamList[Team Name],"",0,)</f>
        <v/>
      </c>
      <c r="C96" s="12"/>
      <c r="D96" s="12"/>
      <c r="E96" s="12"/>
      <c r="F96" s="12"/>
      <c r="G96" s="12"/>
      <c r="H96" s="12"/>
      <c r="I96" s="12"/>
      <c r="J96" s="12"/>
      <c r="K96" s="12"/>
      <c r="L96" s="12"/>
      <c r="M96" s="8">
        <f>SUM(RobotDesignResults[[#This Row],[Identify 1]:[Communicate 2 (CV)]])</f>
        <v>0</v>
      </c>
      <c r="N96" s="21">
        <f>IF(RobotDesignResults[[#This Row],[Team Number]]&gt;0,MIN(_xlfn.RANK.EQ(RobotDesignResults[[#This Row],[Engineering Design Score]],RobotDesignResults[Engineering Design Score],0),NumberOfTeams),NumberOfTeams+1)</f>
        <v>9</v>
      </c>
    </row>
    <row r="97" spans="1:14" ht="30" customHeight="1" x14ac:dyDescent="0.25">
      <c r="A97" s="8">
        <f>_xlfn.XLOOKUP(96,OfficialTeamList[Row],OfficialTeamList[Team Number],"ERROR",0)</f>
        <v>0</v>
      </c>
      <c r="B97" s="20" t="str">
        <f>_xlfn.XLOOKUP(RobotDesignResults[[#This Row],[Team Number]],OfficialTeamList[Team Number],OfficialTeamList[Team Name],"",0,)</f>
        <v/>
      </c>
      <c r="C97" s="12"/>
      <c r="D97" s="12"/>
      <c r="E97" s="12"/>
      <c r="F97" s="12"/>
      <c r="G97" s="12"/>
      <c r="H97" s="12"/>
      <c r="I97" s="12"/>
      <c r="J97" s="12"/>
      <c r="K97" s="12"/>
      <c r="L97" s="12"/>
      <c r="M97" s="8">
        <f>SUM(RobotDesignResults[[#This Row],[Identify 1]:[Communicate 2 (CV)]])</f>
        <v>0</v>
      </c>
      <c r="N97" s="21">
        <f>IF(RobotDesignResults[[#This Row],[Team Number]]&gt;0,MIN(_xlfn.RANK.EQ(RobotDesignResults[[#This Row],[Engineering Design Score]],RobotDesignResults[Engineering Design Score],0),NumberOfTeams),NumberOfTeams+1)</f>
        <v>9</v>
      </c>
    </row>
    <row r="98" spans="1:14" ht="30" customHeight="1" x14ac:dyDescent="0.25">
      <c r="A98" s="8">
        <f>_xlfn.XLOOKUP(97,OfficialTeamList[Row],OfficialTeamList[Team Number],"ERROR",0)</f>
        <v>0</v>
      </c>
      <c r="B98" s="20" t="str">
        <f>_xlfn.XLOOKUP(RobotDesignResults[[#This Row],[Team Number]],OfficialTeamList[Team Number],OfficialTeamList[Team Name],"",0,)</f>
        <v/>
      </c>
      <c r="C98" s="12"/>
      <c r="D98" s="12"/>
      <c r="E98" s="12"/>
      <c r="F98" s="12"/>
      <c r="G98" s="12"/>
      <c r="H98" s="12"/>
      <c r="I98" s="12"/>
      <c r="J98" s="12"/>
      <c r="K98" s="12"/>
      <c r="L98" s="12"/>
      <c r="M98" s="8">
        <f>SUM(RobotDesignResults[[#This Row],[Identify 1]:[Communicate 2 (CV)]])</f>
        <v>0</v>
      </c>
      <c r="N98" s="21">
        <f>IF(RobotDesignResults[[#This Row],[Team Number]]&gt;0,MIN(_xlfn.RANK.EQ(RobotDesignResults[[#This Row],[Engineering Design Score]],RobotDesignResults[Engineering Design Score],0),NumberOfTeams),NumberOfTeams+1)</f>
        <v>9</v>
      </c>
    </row>
    <row r="99" spans="1:14" ht="30" customHeight="1" x14ac:dyDescent="0.25">
      <c r="A99" s="8">
        <f>_xlfn.XLOOKUP(98,OfficialTeamList[Row],OfficialTeamList[Team Number],"ERROR",0)</f>
        <v>0</v>
      </c>
      <c r="B99" s="20" t="str">
        <f>_xlfn.XLOOKUP(RobotDesignResults[[#This Row],[Team Number]],OfficialTeamList[Team Number],OfficialTeamList[Team Name],"",0,)</f>
        <v/>
      </c>
      <c r="C99" s="12"/>
      <c r="D99" s="12"/>
      <c r="E99" s="12"/>
      <c r="F99" s="12"/>
      <c r="G99" s="12"/>
      <c r="H99" s="12"/>
      <c r="I99" s="12"/>
      <c r="J99" s="12"/>
      <c r="K99" s="12"/>
      <c r="L99" s="12"/>
      <c r="M99" s="8">
        <f>SUM(RobotDesignResults[[#This Row],[Identify 1]:[Communicate 2 (CV)]])</f>
        <v>0</v>
      </c>
      <c r="N99" s="21">
        <f>IF(RobotDesignResults[[#This Row],[Team Number]]&gt;0,MIN(_xlfn.RANK.EQ(RobotDesignResults[[#This Row],[Engineering Design Score]],RobotDesignResults[Engineering Design Score],0),NumberOfTeams),NumberOfTeams+1)</f>
        <v>9</v>
      </c>
    </row>
    <row r="100" spans="1:14" ht="30" customHeight="1" x14ac:dyDescent="0.25">
      <c r="A100" s="8">
        <f>_xlfn.XLOOKUP(99,OfficialTeamList[Row],OfficialTeamList[Team Number],"ERROR",0)</f>
        <v>0</v>
      </c>
      <c r="B100" s="20" t="str">
        <f>_xlfn.XLOOKUP(RobotDesignResults[[#This Row],[Team Number]],OfficialTeamList[Team Number],OfficialTeamList[Team Name],"",0,)</f>
        <v/>
      </c>
      <c r="C100" s="12"/>
      <c r="D100" s="12"/>
      <c r="E100" s="12"/>
      <c r="F100" s="12"/>
      <c r="G100" s="12"/>
      <c r="H100" s="12"/>
      <c r="I100" s="12"/>
      <c r="J100" s="12"/>
      <c r="K100" s="12"/>
      <c r="L100" s="12"/>
      <c r="M100" s="8">
        <f>SUM(RobotDesignResults[[#This Row],[Identify 1]:[Communicate 2 (CV)]])</f>
        <v>0</v>
      </c>
      <c r="N100" s="21">
        <f>IF(RobotDesignResults[[#This Row],[Team Number]]&gt;0,MIN(_xlfn.RANK.EQ(RobotDesignResults[[#This Row],[Engineering Design Score]],RobotDesignResults[Engineering Design Score],0),NumberOfTeams),NumberOfTeams+1)</f>
        <v>9</v>
      </c>
    </row>
    <row r="101" spans="1:14" ht="30" customHeight="1" x14ac:dyDescent="0.25">
      <c r="A101" s="8">
        <f>_xlfn.XLOOKUP(100,OfficialTeamList[Row],OfficialTeamList[Team Number],"ERROR",0)</f>
        <v>0</v>
      </c>
      <c r="B101" s="20" t="str">
        <f>_xlfn.XLOOKUP(RobotDesignResults[[#This Row],[Team Number]],OfficialTeamList[Team Number],OfficialTeamList[Team Name],"",0,)</f>
        <v/>
      </c>
      <c r="C101" s="12"/>
      <c r="D101" s="12"/>
      <c r="E101" s="12"/>
      <c r="F101" s="12"/>
      <c r="G101" s="12"/>
      <c r="H101" s="12"/>
      <c r="I101" s="12"/>
      <c r="J101" s="12"/>
      <c r="K101" s="12"/>
      <c r="L101" s="12"/>
      <c r="M101" s="8">
        <f>SUM(RobotDesignResults[[#This Row],[Identify 1]:[Communicate 2 (CV)]])</f>
        <v>0</v>
      </c>
      <c r="N101" s="21">
        <f>IF(RobotDesignResults[[#This Row],[Team Number]]&gt;0,MIN(_xlfn.RANK.EQ(RobotDesignResults[[#This Row],[Engineering Design Score]],RobotDesignResults[Engineering Design Score],0),NumberOfTeams),NumberOfTeams+1)</f>
        <v>9</v>
      </c>
    </row>
    <row r="102" spans="1:14" ht="30" customHeight="1" x14ac:dyDescent="0.25">
      <c r="A102" s="8">
        <f>_xlfn.XLOOKUP(101,OfficialTeamList[Row],OfficialTeamList[Team Number],"ERROR",0)</f>
        <v>0</v>
      </c>
      <c r="B102" s="20" t="str">
        <f>_xlfn.XLOOKUP(RobotDesignResults[[#This Row],[Team Number]],OfficialTeamList[Team Number],OfficialTeamList[Team Name],"",0,)</f>
        <v/>
      </c>
      <c r="C102" s="12"/>
      <c r="D102" s="12"/>
      <c r="E102" s="12"/>
      <c r="F102" s="12"/>
      <c r="G102" s="12"/>
      <c r="H102" s="12"/>
      <c r="I102" s="12"/>
      <c r="J102" s="12"/>
      <c r="K102" s="12"/>
      <c r="L102" s="12"/>
      <c r="M102" s="8">
        <f>SUM(RobotDesignResults[[#This Row],[Identify 1]:[Communicate 2 (CV)]])</f>
        <v>0</v>
      </c>
      <c r="N102" s="21">
        <f>IF(RobotDesignResults[[#This Row],[Team Number]]&gt;0,MIN(_xlfn.RANK.EQ(RobotDesignResults[[#This Row],[Engineering Design Score]],RobotDesignResults[Engineering Design Score],0),NumberOfTeams),NumberOfTeams+1)</f>
        <v>9</v>
      </c>
    </row>
    <row r="103" spans="1:14" ht="30" customHeight="1" x14ac:dyDescent="0.25">
      <c r="A103" s="8">
        <f>_xlfn.XLOOKUP(102,OfficialTeamList[Row],OfficialTeamList[Team Number],"ERROR",0)</f>
        <v>0</v>
      </c>
      <c r="B103" s="20" t="str">
        <f>_xlfn.XLOOKUP(RobotDesignResults[[#This Row],[Team Number]],OfficialTeamList[Team Number],OfficialTeamList[Team Name],"",0,)</f>
        <v/>
      </c>
      <c r="C103" s="12"/>
      <c r="D103" s="12"/>
      <c r="E103" s="12"/>
      <c r="F103" s="12"/>
      <c r="G103" s="12"/>
      <c r="H103" s="12"/>
      <c r="I103" s="12"/>
      <c r="J103" s="12"/>
      <c r="K103" s="12"/>
      <c r="L103" s="12"/>
      <c r="M103" s="8">
        <f>SUM(RobotDesignResults[[#This Row],[Identify 1]:[Communicate 2 (CV)]])</f>
        <v>0</v>
      </c>
      <c r="N103" s="21">
        <f>IF(RobotDesignResults[[#This Row],[Team Number]]&gt;0,MIN(_xlfn.RANK.EQ(RobotDesignResults[[#This Row],[Engineering Design Score]],RobotDesignResults[Engineering Design Score],0),NumberOfTeams),NumberOfTeams+1)</f>
        <v>9</v>
      </c>
    </row>
    <row r="104" spans="1:14" ht="30" customHeight="1" x14ac:dyDescent="0.25">
      <c r="A104" s="8">
        <f>_xlfn.XLOOKUP(103,OfficialTeamList[Row],OfficialTeamList[Team Number],"ERROR",0)</f>
        <v>0</v>
      </c>
      <c r="B104" s="20" t="str">
        <f>_xlfn.XLOOKUP(RobotDesignResults[[#This Row],[Team Number]],OfficialTeamList[Team Number],OfficialTeamList[Team Name],"",0,)</f>
        <v/>
      </c>
      <c r="C104" s="12"/>
      <c r="D104" s="12"/>
      <c r="E104" s="12"/>
      <c r="F104" s="12"/>
      <c r="G104" s="12"/>
      <c r="H104" s="12"/>
      <c r="I104" s="12"/>
      <c r="J104" s="12"/>
      <c r="K104" s="12"/>
      <c r="L104" s="12"/>
      <c r="M104" s="8">
        <f>SUM(RobotDesignResults[[#This Row],[Identify 1]:[Communicate 2 (CV)]])</f>
        <v>0</v>
      </c>
      <c r="N104" s="21">
        <f>IF(RobotDesignResults[[#This Row],[Team Number]]&gt;0,MIN(_xlfn.RANK.EQ(RobotDesignResults[[#This Row],[Engineering Design Score]],RobotDesignResults[Engineering Design Score],0),NumberOfTeams),NumberOfTeams+1)</f>
        <v>9</v>
      </c>
    </row>
    <row r="105" spans="1:14" ht="30" customHeight="1" x14ac:dyDescent="0.25">
      <c r="A105" s="8">
        <f>_xlfn.XLOOKUP(104,OfficialTeamList[Row],OfficialTeamList[Team Number],"ERROR",0)</f>
        <v>0</v>
      </c>
      <c r="B105" s="20" t="str">
        <f>_xlfn.XLOOKUP(RobotDesignResults[[#This Row],[Team Number]],OfficialTeamList[Team Number],OfficialTeamList[Team Name],"",0,)</f>
        <v/>
      </c>
      <c r="C105" s="12"/>
      <c r="D105" s="12"/>
      <c r="E105" s="12"/>
      <c r="F105" s="12"/>
      <c r="G105" s="12"/>
      <c r="H105" s="12"/>
      <c r="I105" s="12"/>
      <c r="J105" s="12"/>
      <c r="K105" s="12"/>
      <c r="L105" s="12"/>
      <c r="M105" s="8">
        <f>SUM(RobotDesignResults[[#This Row],[Identify 1]:[Communicate 2 (CV)]])</f>
        <v>0</v>
      </c>
      <c r="N105" s="21">
        <f>IF(RobotDesignResults[[#This Row],[Team Number]]&gt;0,MIN(_xlfn.RANK.EQ(RobotDesignResults[[#This Row],[Engineering Design Score]],RobotDesignResults[Engineering Design Score],0),NumberOfTeams),NumberOfTeams+1)</f>
        <v>9</v>
      </c>
    </row>
    <row r="106" spans="1:14" ht="30" customHeight="1" x14ac:dyDescent="0.25">
      <c r="A106" s="8">
        <f>_xlfn.XLOOKUP(105,OfficialTeamList[Row],OfficialTeamList[Team Number],"ERROR",0)</f>
        <v>0</v>
      </c>
      <c r="B106" s="20" t="str">
        <f>_xlfn.XLOOKUP(RobotDesignResults[[#This Row],[Team Number]],OfficialTeamList[Team Number],OfficialTeamList[Team Name],"",0,)</f>
        <v/>
      </c>
      <c r="C106" s="12"/>
      <c r="D106" s="12"/>
      <c r="E106" s="12"/>
      <c r="F106" s="12"/>
      <c r="G106" s="12"/>
      <c r="H106" s="12"/>
      <c r="I106" s="12"/>
      <c r="J106" s="12"/>
      <c r="K106" s="12"/>
      <c r="L106" s="12"/>
      <c r="M106" s="8">
        <f>SUM(RobotDesignResults[[#This Row],[Identify 1]:[Communicate 2 (CV)]])</f>
        <v>0</v>
      </c>
      <c r="N106" s="21">
        <f>IF(RobotDesignResults[[#This Row],[Team Number]]&gt;0,MIN(_xlfn.RANK.EQ(RobotDesignResults[[#This Row],[Engineering Design Score]],RobotDesignResults[Engineering Design Score],0),NumberOfTeams),NumberOfTeams+1)</f>
        <v>9</v>
      </c>
    </row>
    <row r="107" spans="1:14" ht="30" customHeight="1" x14ac:dyDescent="0.25">
      <c r="A107" s="8">
        <f>_xlfn.XLOOKUP(106,OfficialTeamList[Row],OfficialTeamList[Team Number],"ERROR",0)</f>
        <v>0</v>
      </c>
      <c r="B107" s="20" t="str">
        <f>_xlfn.XLOOKUP(RobotDesignResults[[#This Row],[Team Number]],OfficialTeamList[Team Number],OfficialTeamList[Team Name],"",0,)</f>
        <v/>
      </c>
      <c r="C107" s="12"/>
      <c r="D107" s="12"/>
      <c r="E107" s="12"/>
      <c r="F107" s="12"/>
      <c r="G107" s="12"/>
      <c r="H107" s="12"/>
      <c r="I107" s="12"/>
      <c r="J107" s="12"/>
      <c r="K107" s="12"/>
      <c r="L107" s="12"/>
      <c r="M107" s="8">
        <f>SUM(RobotDesignResults[[#This Row],[Identify 1]:[Communicate 2 (CV)]])</f>
        <v>0</v>
      </c>
      <c r="N107" s="21">
        <f>IF(RobotDesignResults[[#This Row],[Team Number]]&gt;0,MIN(_xlfn.RANK.EQ(RobotDesignResults[[#This Row],[Engineering Design Score]],RobotDesignResults[Engineering Design Score],0),NumberOfTeams),NumberOfTeams+1)</f>
        <v>9</v>
      </c>
    </row>
    <row r="108" spans="1:14" ht="30" customHeight="1" x14ac:dyDescent="0.25">
      <c r="A108" s="8">
        <f>_xlfn.XLOOKUP(107,OfficialTeamList[Row],OfficialTeamList[Team Number],"ERROR",0)</f>
        <v>0</v>
      </c>
      <c r="B108" s="20" t="str">
        <f>_xlfn.XLOOKUP(RobotDesignResults[[#This Row],[Team Number]],OfficialTeamList[Team Number],OfficialTeamList[Team Name],"",0,)</f>
        <v/>
      </c>
      <c r="C108" s="12"/>
      <c r="D108" s="12"/>
      <c r="E108" s="12"/>
      <c r="F108" s="12"/>
      <c r="G108" s="12"/>
      <c r="H108" s="12"/>
      <c r="I108" s="12"/>
      <c r="J108" s="12"/>
      <c r="K108" s="12"/>
      <c r="L108" s="12"/>
      <c r="M108" s="8">
        <f>SUM(RobotDesignResults[[#This Row],[Identify 1]:[Communicate 2 (CV)]])</f>
        <v>0</v>
      </c>
      <c r="N108" s="21">
        <f>IF(RobotDesignResults[[#This Row],[Team Number]]&gt;0,MIN(_xlfn.RANK.EQ(RobotDesignResults[[#This Row],[Engineering Design Score]],RobotDesignResults[Engineering Design Score],0),NumberOfTeams),NumberOfTeams+1)</f>
        <v>9</v>
      </c>
    </row>
    <row r="109" spans="1:14" ht="30" customHeight="1" x14ac:dyDescent="0.25">
      <c r="A109" s="8">
        <f>_xlfn.XLOOKUP(108,OfficialTeamList[Row],OfficialTeamList[Team Number],"ERROR",0)</f>
        <v>0</v>
      </c>
      <c r="B109" s="20" t="str">
        <f>_xlfn.XLOOKUP(RobotDesignResults[[#This Row],[Team Number]],OfficialTeamList[Team Number],OfficialTeamList[Team Name],"",0,)</f>
        <v/>
      </c>
      <c r="C109" s="12"/>
      <c r="D109" s="12"/>
      <c r="E109" s="12"/>
      <c r="F109" s="12"/>
      <c r="G109" s="12"/>
      <c r="H109" s="12"/>
      <c r="I109" s="12"/>
      <c r="J109" s="12"/>
      <c r="K109" s="12"/>
      <c r="L109" s="12"/>
      <c r="M109" s="8">
        <f>SUM(RobotDesignResults[[#This Row],[Identify 1]:[Communicate 2 (CV)]])</f>
        <v>0</v>
      </c>
      <c r="N109" s="21">
        <f>IF(RobotDesignResults[[#This Row],[Team Number]]&gt;0,MIN(_xlfn.RANK.EQ(RobotDesignResults[[#This Row],[Engineering Design Score]],RobotDesignResults[Engineering Design Score],0),NumberOfTeams),NumberOfTeams+1)</f>
        <v>9</v>
      </c>
    </row>
    <row r="110" spans="1:14" ht="30" customHeight="1" x14ac:dyDescent="0.25">
      <c r="A110" s="8">
        <f>_xlfn.XLOOKUP(109,OfficialTeamList[Row],OfficialTeamList[Team Number],"ERROR",0)</f>
        <v>0</v>
      </c>
      <c r="B110" s="20" t="str">
        <f>_xlfn.XLOOKUP(RobotDesignResults[[#This Row],[Team Number]],OfficialTeamList[Team Number],OfficialTeamList[Team Name],"",0,)</f>
        <v/>
      </c>
      <c r="C110" s="12"/>
      <c r="D110" s="12"/>
      <c r="E110" s="12"/>
      <c r="F110" s="12"/>
      <c r="G110" s="12"/>
      <c r="H110" s="12"/>
      <c r="I110" s="12"/>
      <c r="J110" s="12"/>
      <c r="K110" s="12"/>
      <c r="L110" s="12"/>
      <c r="M110" s="8">
        <f>SUM(RobotDesignResults[[#This Row],[Identify 1]:[Communicate 2 (CV)]])</f>
        <v>0</v>
      </c>
      <c r="N110" s="21">
        <f>IF(RobotDesignResults[[#This Row],[Team Number]]&gt;0,MIN(_xlfn.RANK.EQ(RobotDesignResults[[#This Row],[Engineering Design Score]],RobotDesignResults[Engineering Design Score],0),NumberOfTeams),NumberOfTeams+1)</f>
        <v>9</v>
      </c>
    </row>
    <row r="111" spans="1:14" ht="30" customHeight="1" x14ac:dyDescent="0.25">
      <c r="A111" s="8">
        <f>_xlfn.XLOOKUP(110,OfficialTeamList[Row],OfficialTeamList[Team Number],"ERROR",0)</f>
        <v>0</v>
      </c>
      <c r="B111" s="20" t="str">
        <f>_xlfn.XLOOKUP(RobotDesignResults[[#This Row],[Team Number]],OfficialTeamList[Team Number],OfficialTeamList[Team Name],"",0,)</f>
        <v/>
      </c>
      <c r="C111" s="12"/>
      <c r="D111" s="12"/>
      <c r="E111" s="12"/>
      <c r="F111" s="12"/>
      <c r="G111" s="12"/>
      <c r="H111" s="12"/>
      <c r="I111" s="12"/>
      <c r="J111" s="12"/>
      <c r="K111" s="12"/>
      <c r="L111" s="12"/>
      <c r="M111" s="8">
        <f>SUM(RobotDesignResults[[#This Row],[Identify 1]:[Communicate 2 (CV)]])</f>
        <v>0</v>
      </c>
      <c r="N111" s="21">
        <f>IF(RobotDesignResults[[#This Row],[Team Number]]&gt;0,MIN(_xlfn.RANK.EQ(RobotDesignResults[[#This Row],[Engineering Design Score]],RobotDesignResults[Engineering Design Score],0),NumberOfTeams),NumberOfTeams+1)</f>
        <v>9</v>
      </c>
    </row>
    <row r="112" spans="1:14" ht="30" customHeight="1" x14ac:dyDescent="0.25">
      <c r="A112" s="8">
        <f>_xlfn.XLOOKUP(111,OfficialTeamList[Row],OfficialTeamList[Team Number],"ERROR",0)</f>
        <v>0</v>
      </c>
      <c r="B112" s="20" t="str">
        <f>_xlfn.XLOOKUP(RobotDesignResults[[#This Row],[Team Number]],OfficialTeamList[Team Number],OfficialTeamList[Team Name],"",0,)</f>
        <v/>
      </c>
      <c r="C112" s="12"/>
      <c r="D112" s="12"/>
      <c r="E112" s="12"/>
      <c r="F112" s="12"/>
      <c r="G112" s="12"/>
      <c r="H112" s="12"/>
      <c r="I112" s="12"/>
      <c r="J112" s="12"/>
      <c r="K112" s="12"/>
      <c r="L112" s="12"/>
      <c r="M112" s="8">
        <f>SUM(RobotDesignResults[[#This Row],[Identify 1]:[Communicate 2 (CV)]])</f>
        <v>0</v>
      </c>
      <c r="N112" s="21">
        <f>IF(RobotDesignResults[[#This Row],[Team Number]]&gt;0,MIN(_xlfn.RANK.EQ(RobotDesignResults[[#This Row],[Engineering Design Score]],RobotDesignResults[Engineering Design Score],0),NumberOfTeams),NumberOfTeams+1)</f>
        <v>9</v>
      </c>
    </row>
    <row r="113" spans="1:14" ht="30" customHeight="1" x14ac:dyDescent="0.25">
      <c r="A113" s="8">
        <f>_xlfn.XLOOKUP(112,OfficialTeamList[Row],OfficialTeamList[Team Number],"ERROR",0)</f>
        <v>0</v>
      </c>
      <c r="B113" s="20" t="str">
        <f>_xlfn.XLOOKUP(RobotDesignResults[[#This Row],[Team Number]],OfficialTeamList[Team Number],OfficialTeamList[Team Name],"",0,)</f>
        <v/>
      </c>
      <c r="C113" s="12"/>
      <c r="D113" s="12"/>
      <c r="E113" s="12"/>
      <c r="F113" s="12"/>
      <c r="G113" s="12"/>
      <c r="H113" s="12"/>
      <c r="I113" s="12"/>
      <c r="J113" s="12"/>
      <c r="K113" s="12"/>
      <c r="L113" s="12"/>
      <c r="M113" s="8">
        <f>SUM(RobotDesignResults[[#This Row],[Identify 1]:[Communicate 2 (CV)]])</f>
        <v>0</v>
      </c>
      <c r="N113" s="21">
        <f>IF(RobotDesignResults[[#This Row],[Team Number]]&gt;0,MIN(_xlfn.RANK.EQ(RobotDesignResults[[#This Row],[Engineering Design Score]],RobotDesignResults[Engineering Design Score],0),NumberOfTeams),NumberOfTeams+1)</f>
        <v>9</v>
      </c>
    </row>
    <row r="114" spans="1:14" ht="30" customHeight="1" x14ac:dyDescent="0.25">
      <c r="A114" s="8">
        <f>_xlfn.XLOOKUP(113,OfficialTeamList[Row],OfficialTeamList[Team Number],"ERROR",0)</f>
        <v>0</v>
      </c>
      <c r="B114" s="20" t="str">
        <f>_xlfn.XLOOKUP(RobotDesignResults[[#This Row],[Team Number]],OfficialTeamList[Team Number],OfficialTeamList[Team Name],"",0,)</f>
        <v/>
      </c>
      <c r="C114" s="12"/>
      <c r="D114" s="12"/>
      <c r="E114" s="12"/>
      <c r="F114" s="12"/>
      <c r="G114" s="12"/>
      <c r="H114" s="12"/>
      <c r="I114" s="12"/>
      <c r="J114" s="12"/>
      <c r="K114" s="12"/>
      <c r="L114" s="12"/>
      <c r="M114" s="8">
        <f>SUM(RobotDesignResults[[#This Row],[Identify 1]:[Communicate 2 (CV)]])</f>
        <v>0</v>
      </c>
      <c r="N114" s="21">
        <f>IF(RobotDesignResults[[#This Row],[Team Number]]&gt;0,MIN(_xlfn.RANK.EQ(RobotDesignResults[[#This Row],[Engineering Design Score]],RobotDesignResults[Engineering Design Score],0),NumberOfTeams),NumberOfTeams+1)</f>
        <v>9</v>
      </c>
    </row>
    <row r="115" spans="1:14" ht="30" customHeight="1" x14ac:dyDescent="0.25">
      <c r="A115" s="8">
        <f>_xlfn.XLOOKUP(114,OfficialTeamList[Row],OfficialTeamList[Team Number],"ERROR",0)</f>
        <v>0</v>
      </c>
      <c r="B115" s="20" t="str">
        <f>_xlfn.XLOOKUP(RobotDesignResults[[#This Row],[Team Number]],OfficialTeamList[Team Number],OfficialTeamList[Team Name],"",0,)</f>
        <v/>
      </c>
      <c r="C115" s="12"/>
      <c r="D115" s="12"/>
      <c r="E115" s="12"/>
      <c r="F115" s="12"/>
      <c r="G115" s="12"/>
      <c r="H115" s="12"/>
      <c r="I115" s="12"/>
      <c r="J115" s="12"/>
      <c r="K115" s="12"/>
      <c r="L115" s="12"/>
      <c r="M115" s="8">
        <f>SUM(RobotDesignResults[[#This Row],[Identify 1]:[Communicate 2 (CV)]])</f>
        <v>0</v>
      </c>
      <c r="N115" s="21">
        <f>IF(RobotDesignResults[[#This Row],[Team Number]]&gt;0,MIN(_xlfn.RANK.EQ(RobotDesignResults[[#This Row],[Engineering Design Score]],RobotDesignResults[Engineering Design Score],0),NumberOfTeams),NumberOfTeams+1)</f>
        <v>9</v>
      </c>
    </row>
    <row r="116" spans="1:14" ht="30" customHeight="1" x14ac:dyDescent="0.25">
      <c r="A116" s="8">
        <f>_xlfn.XLOOKUP(115,OfficialTeamList[Row],OfficialTeamList[Team Number],"ERROR",0)</f>
        <v>0</v>
      </c>
      <c r="B116" s="20" t="str">
        <f>_xlfn.XLOOKUP(RobotDesignResults[[#This Row],[Team Number]],OfficialTeamList[Team Number],OfficialTeamList[Team Name],"",0,)</f>
        <v/>
      </c>
      <c r="C116" s="12"/>
      <c r="D116" s="12"/>
      <c r="E116" s="12"/>
      <c r="F116" s="12"/>
      <c r="G116" s="12"/>
      <c r="H116" s="12"/>
      <c r="I116" s="12"/>
      <c r="J116" s="12"/>
      <c r="K116" s="12"/>
      <c r="L116" s="12"/>
      <c r="M116" s="8">
        <f>SUM(RobotDesignResults[[#This Row],[Identify 1]:[Communicate 2 (CV)]])</f>
        <v>0</v>
      </c>
      <c r="N116" s="21">
        <f>IF(RobotDesignResults[[#This Row],[Team Number]]&gt;0,MIN(_xlfn.RANK.EQ(RobotDesignResults[[#This Row],[Engineering Design Score]],RobotDesignResults[Engineering Design Score],0),NumberOfTeams),NumberOfTeams+1)</f>
        <v>9</v>
      </c>
    </row>
    <row r="117" spans="1:14" ht="30" customHeight="1" x14ac:dyDescent="0.25">
      <c r="A117" s="8">
        <f>_xlfn.XLOOKUP(116,OfficialTeamList[Row],OfficialTeamList[Team Number],"ERROR",0)</f>
        <v>0</v>
      </c>
      <c r="B117" s="20" t="str">
        <f>_xlfn.XLOOKUP(RobotDesignResults[[#This Row],[Team Number]],OfficialTeamList[Team Number],OfficialTeamList[Team Name],"",0,)</f>
        <v/>
      </c>
      <c r="C117" s="12"/>
      <c r="D117" s="12"/>
      <c r="E117" s="12"/>
      <c r="F117" s="12"/>
      <c r="G117" s="12"/>
      <c r="H117" s="12"/>
      <c r="I117" s="12"/>
      <c r="J117" s="12"/>
      <c r="K117" s="12"/>
      <c r="L117" s="12"/>
      <c r="M117" s="8">
        <f>SUM(RobotDesignResults[[#This Row],[Identify 1]:[Communicate 2 (CV)]])</f>
        <v>0</v>
      </c>
      <c r="N117" s="21">
        <f>IF(RobotDesignResults[[#This Row],[Team Number]]&gt;0,MIN(_xlfn.RANK.EQ(RobotDesignResults[[#This Row],[Engineering Design Score]],RobotDesignResults[Engineering Design Score],0),NumberOfTeams),NumberOfTeams+1)</f>
        <v>9</v>
      </c>
    </row>
    <row r="118" spans="1:14" ht="30" customHeight="1" x14ac:dyDescent="0.25">
      <c r="A118" s="8">
        <f>_xlfn.XLOOKUP(117,OfficialTeamList[Row],OfficialTeamList[Team Number],"ERROR",0)</f>
        <v>0</v>
      </c>
      <c r="B118" s="20" t="str">
        <f>_xlfn.XLOOKUP(RobotDesignResults[[#This Row],[Team Number]],OfficialTeamList[Team Number],OfficialTeamList[Team Name],"",0,)</f>
        <v/>
      </c>
      <c r="C118" s="12"/>
      <c r="D118" s="12"/>
      <c r="E118" s="12"/>
      <c r="F118" s="12"/>
      <c r="G118" s="12"/>
      <c r="H118" s="12"/>
      <c r="I118" s="12"/>
      <c r="J118" s="12"/>
      <c r="K118" s="12"/>
      <c r="L118" s="12"/>
      <c r="M118" s="8">
        <f>SUM(RobotDesignResults[[#This Row],[Identify 1]:[Communicate 2 (CV)]])</f>
        <v>0</v>
      </c>
      <c r="N118" s="21">
        <f>IF(RobotDesignResults[[#This Row],[Team Number]]&gt;0,MIN(_xlfn.RANK.EQ(RobotDesignResults[[#This Row],[Engineering Design Score]],RobotDesignResults[Engineering Design Score],0),NumberOfTeams),NumberOfTeams+1)</f>
        <v>9</v>
      </c>
    </row>
    <row r="119" spans="1:14" ht="30" customHeight="1" x14ac:dyDescent="0.25">
      <c r="A119" s="8">
        <f>_xlfn.XLOOKUP(118,OfficialTeamList[Row],OfficialTeamList[Team Number],"ERROR",0)</f>
        <v>0</v>
      </c>
      <c r="B119" s="20" t="str">
        <f>_xlfn.XLOOKUP(RobotDesignResults[[#This Row],[Team Number]],OfficialTeamList[Team Number],OfficialTeamList[Team Name],"",0,)</f>
        <v/>
      </c>
      <c r="C119" s="12"/>
      <c r="D119" s="12"/>
      <c r="E119" s="12"/>
      <c r="F119" s="12"/>
      <c r="G119" s="12"/>
      <c r="H119" s="12"/>
      <c r="I119" s="12"/>
      <c r="J119" s="12"/>
      <c r="K119" s="12"/>
      <c r="L119" s="12"/>
      <c r="M119" s="8">
        <f>SUM(RobotDesignResults[[#This Row],[Identify 1]:[Communicate 2 (CV)]])</f>
        <v>0</v>
      </c>
      <c r="N119" s="21">
        <f>IF(RobotDesignResults[[#This Row],[Team Number]]&gt;0,MIN(_xlfn.RANK.EQ(RobotDesignResults[[#This Row],[Engineering Design Score]],RobotDesignResults[Engineering Design Score],0),NumberOfTeams),NumberOfTeams+1)</f>
        <v>9</v>
      </c>
    </row>
    <row r="120" spans="1:14" ht="30" customHeight="1" x14ac:dyDescent="0.25">
      <c r="A120" s="8">
        <f>_xlfn.XLOOKUP(119,OfficialTeamList[Row],OfficialTeamList[Team Number],"ERROR",0)</f>
        <v>0</v>
      </c>
      <c r="B120" s="20" t="str">
        <f>_xlfn.XLOOKUP(RobotDesignResults[[#This Row],[Team Number]],OfficialTeamList[Team Number],OfficialTeamList[Team Name],"",0,)</f>
        <v/>
      </c>
      <c r="C120" s="12"/>
      <c r="D120" s="12"/>
      <c r="E120" s="12"/>
      <c r="F120" s="12"/>
      <c r="G120" s="12"/>
      <c r="H120" s="12"/>
      <c r="I120" s="12"/>
      <c r="J120" s="12"/>
      <c r="K120" s="12"/>
      <c r="L120" s="12"/>
      <c r="M120" s="8">
        <f>SUM(RobotDesignResults[[#This Row],[Identify 1]:[Communicate 2 (CV)]])</f>
        <v>0</v>
      </c>
      <c r="N120" s="21">
        <f>IF(RobotDesignResults[[#This Row],[Team Number]]&gt;0,MIN(_xlfn.RANK.EQ(RobotDesignResults[[#This Row],[Engineering Design Score]],RobotDesignResults[Engineering Design Score],0),NumberOfTeams),NumberOfTeams+1)</f>
        <v>9</v>
      </c>
    </row>
    <row r="121" spans="1:14" ht="30" customHeight="1" x14ac:dyDescent="0.25">
      <c r="A121" s="8">
        <f>_xlfn.XLOOKUP(120,OfficialTeamList[Row],OfficialTeamList[Team Number],"ERROR",0)</f>
        <v>0</v>
      </c>
      <c r="B121" s="20" t="str">
        <f>_xlfn.XLOOKUP(RobotDesignResults[[#This Row],[Team Number]],OfficialTeamList[Team Number],OfficialTeamList[Team Name],"",0,)</f>
        <v/>
      </c>
      <c r="C121" s="12"/>
      <c r="D121" s="12"/>
      <c r="E121" s="12"/>
      <c r="F121" s="12"/>
      <c r="G121" s="12"/>
      <c r="H121" s="12"/>
      <c r="I121" s="12"/>
      <c r="J121" s="12"/>
      <c r="K121" s="12"/>
      <c r="L121" s="12"/>
      <c r="M121" s="8">
        <f>SUM(RobotDesignResults[[#This Row],[Identify 1]:[Communicate 2 (CV)]])</f>
        <v>0</v>
      </c>
      <c r="N121" s="21">
        <f>IF(RobotDesignResults[[#This Row],[Team Number]]&gt;0,MIN(_xlfn.RANK.EQ(RobotDesignResults[[#This Row],[Engineering Design Score]],RobotDesignResults[Engineering Design Score],0),NumberOfTeams),NumberOfTeams+1)</f>
        <v>9</v>
      </c>
    </row>
    <row r="122" spans="1:14" ht="30" customHeight="1" x14ac:dyDescent="0.25">
      <c r="A122" s="8">
        <f>_xlfn.XLOOKUP(121,OfficialTeamList[Row],OfficialTeamList[Team Number],"ERROR",0)</f>
        <v>0</v>
      </c>
      <c r="B122" s="20" t="str">
        <f>_xlfn.XLOOKUP(RobotDesignResults[[#This Row],[Team Number]],OfficialTeamList[Team Number],OfficialTeamList[Team Name],"",0,)</f>
        <v/>
      </c>
      <c r="C122" s="12"/>
      <c r="D122" s="12"/>
      <c r="E122" s="12"/>
      <c r="F122" s="12"/>
      <c r="G122" s="12"/>
      <c r="H122" s="12"/>
      <c r="I122" s="12"/>
      <c r="J122" s="12"/>
      <c r="K122" s="12"/>
      <c r="L122" s="12"/>
      <c r="M122" s="8">
        <f>SUM(RobotDesignResults[[#This Row],[Identify 1]:[Communicate 2 (CV)]])</f>
        <v>0</v>
      </c>
      <c r="N122" s="21">
        <f>IF(RobotDesignResults[[#This Row],[Team Number]]&gt;0,MIN(_xlfn.RANK.EQ(RobotDesignResults[[#This Row],[Engineering Design Score]],RobotDesignResults[Engineering Design Score],0),NumberOfTeams),NumberOfTeams+1)</f>
        <v>9</v>
      </c>
    </row>
    <row r="123" spans="1:14" ht="30" customHeight="1" x14ac:dyDescent="0.25">
      <c r="A123" s="8">
        <f>_xlfn.XLOOKUP(122,OfficialTeamList[Row],OfficialTeamList[Team Number],"ERROR",0)</f>
        <v>0</v>
      </c>
      <c r="B123" s="20" t="str">
        <f>_xlfn.XLOOKUP(RobotDesignResults[[#This Row],[Team Number]],OfficialTeamList[Team Number],OfficialTeamList[Team Name],"",0,)</f>
        <v/>
      </c>
      <c r="C123" s="12"/>
      <c r="D123" s="12"/>
      <c r="E123" s="12"/>
      <c r="F123" s="12"/>
      <c r="G123" s="12"/>
      <c r="H123" s="12"/>
      <c r="I123" s="12"/>
      <c r="J123" s="12"/>
      <c r="K123" s="12"/>
      <c r="L123" s="12"/>
      <c r="M123" s="8">
        <f>SUM(RobotDesignResults[[#This Row],[Identify 1]:[Communicate 2 (CV)]])</f>
        <v>0</v>
      </c>
      <c r="N123" s="21">
        <f>IF(RobotDesignResults[[#This Row],[Team Number]]&gt;0,MIN(_xlfn.RANK.EQ(RobotDesignResults[[#This Row],[Engineering Design Score]],RobotDesignResults[Engineering Design Score],0),NumberOfTeams),NumberOfTeams+1)</f>
        <v>9</v>
      </c>
    </row>
    <row r="124" spans="1:14" ht="30" customHeight="1" x14ac:dyDescent="0.25">
      <c r="A124" s="8">
        <f>_xlfn.XLOOKUP(123,OfficialTeamList[Row],OfficialTeamList[Team Number],"ERROR",0)</f>
        <v>0</v>
      </c>
      <c r="B124" s="20" t="str">
        <f>_xlfn.XLOOKUP(RobotDesignResults[[#This Row],[Team Number]],OfficialTeamList[Team Number],OfficialTeamList[Team Name],"",0,)</f>
        <v/>
      </c>
      <c r="C124" s="12"/>
      <c r="D124" s="12"/>
      <c r="E124" s="12"/>
      <c r="F124" s="12"/>
      <c r="G124" s="12"/>
      <c r="H124" s="12"/>
      <c r="I124" s="12"/>
      <c r="J124" s="12"/>
      <c r="K124" s="12"/>
      <c r="L124" s="12"/>
      <c r="M124" s="8">
        <f>SUM(RobotDesignResults[[#This Row],[Identify 1]:[Communicate 2 (CV)]])</f>
        <v>0</v>
      </c>
      <c r="N124" s="21">
        <f>IF(RobotDesignResults[[#This Row],[Team Number]]&gt;0,MIN(_xlfn.RANK.EQ(RobotDesignResults[[#This Row],[Engineering Design Score]],RobotDesignResults[Engineering Design Score],0),NumberOfTeams),NumberOfTeams+1)</f>
        <v>9</v>
      </c>
    </row>
    <row r="125" spans="1:14" ht="30" customHeight="1" x14ac:dyDescent="0.25">
      <c r="A125" s="8">
        <f>_xlfn.XLOOKUP(124,OfficialTeamList[Row],OfficialTeamList[Team Number],"ERROR",0)</f>
        <v>0</v>
      </c>
      <c r="B125" s="20" t="str">
        <f>_xlfn.XLOOKUP(RobotDesignResults[[#This Row],[Team Number]],OfficialTeamList[Team Number],OfficialTeamList[Team Name],"",0,)</f>
        <v/>
      </c>
      <c r="C125" s="12"/>
      <c r="D125" s="12"/>
      <c r="E125" s="12"/>
      <c r="F125" s="12"/>
      <c r="G125" s="12"/>
      <c r="H125" s="12"/>
      <c r="I125" s="12"/>
      <c r="J125" s="12"/>
      <c r="K125" s="12"/>
      <c r="L125" s="12"/>
      <c r="M125" s="8">
        <f>SUM(RobotDesignResults[[#This Row],[Identify 1]:[Communicate 2 (CV)]])</f>
        <v>0</v>
      </c>
      <c r="N125" s="21">
        <f>IF(RobotDesignResults[[#This Row],[Team Number]]&gt;0,MIN(_xlfn.RANK.EQ(RobotDesignResults[[#This Row],[Engineering Design Score]],RobotDesignResults[Engineering Design Score],0),NumberOfTeams),NumberOfTeams+1)</f>
        <v>9</v>
      </c>
    </row>
    <row r="126" spans="1:14" ht="30" customHeight="1" x14ac:dyDescent="0.25">
      <c r="A126" s="8">
        <f>_xlfn.XLOOKUP(125,OfficialTeamList[Row],OfficialTeamList[Team Number],"ERROR",0)</f>
        <v>0</v>
      </c>
      <c r="B126" s="20" t="str">
        <f>_xlfn.XLOOKUP(RobotDesignResults[[#This Row],[Team Number]],OfficialTeamList[Team Number],OfficialTeamList[Team Name],"",0,)</f>
        <v/>
      </c>
      <c r="C126" s="12"/>
      <c r="D126" s="12"/>
      <c r="E126" s="12"/>
      <c r="F126" s="12"/>
      <c r="G126" s="12"/>
      <c r="H126" s="12"/>
      <c r="I126" s="12"/>
      <c r="J126" s="12"/>
      <c r="K126" s="12"/>
      <c r="L126" s="12"/>
      <c r="M126" s="8">
        <f>SUM(RobotDesignResults[[#This Row],[Identify 1]:[Communicate 2 (CV)]])</f>
        <v>0</v>
      </c>
      <c r="N126" s="21">
        <f>IF(RobotDesignResults[[#This Row],[Team Number]]&gt;0,MIN(_xlfn.RANK.EQ(RobotDesignResults[[#This Row],[Engineering Design Score]],RobotDesignResults[Engineering Design Score],0),NumberOfTeams),NumberOfTeams+1)</f>
        <v>9</v>
      </c>
    </row>
    <row r="127" spans="1:14" ht="30" customHeight="1" x14ac:dyDescent="0.25">
      <c r="A127" s="8">
        <f>_xlfn.XLOOKUP(126,OfficialTeamList[Row],OfficialTeamList[Team Number],"ERROR",0)</f>
        <v>0</v>
      </c>
      <c r="B127" s="20" t="str">
        <f>_xlfn.XLOOKUP(RobotDesignResults[[#This Row],[Team Number]],OfficialTeamList[Team Number],OfficialTeamList[Team Name],"",0,)</f>
        <v/>
      </c>
      <c r="C127" s="12"/>
      <c r="D127" s="12"/>
      <c r="E127" s="12"/>
      <c r="F127" s="12"/>
      <c r="G127" s="12"/>
      <c r="H127" s="12"/>
      <c r="I127" s="12"/>
      <c r="J127" s="12"/>
      <c r="K127" s="12"/>
      <c r="L127" s="12"/>
      <c r="M127" s="8">
        <f>SUM(RobotDesignResults[[#This Row],[Identify 1]:[Communicate 2 (CV)]])</f>
        <v>0</v>
      </c>
      <c r="N127" s="21">
        <f>IF(RobotDesignResults[[#This Row],[Team Number]]&gt;0,MIN(_xlfn.RANK.EQ(RobotDesignResults[[#This Row],[Engineering Design Score]],RobotDesignResults[Engineering Design Score],0),NumberOfTeams),NumberOfTeams+1)</f>
        <v>9</v>
      </c>
    </row>
    <row r="128" spans="1:14" ht="30" customHeight="1" x14ac:dyDescent="0.25">
      <c r="A128" s="8">
        <f>_xlfn.XLOOKUP(127,OfficialTeamList[Row],OfficialTeamList[Team Number],"ERROR",0)</f>
        <v>0</v>
      </c>
      <c r="B128" s="20" t="str">
        <f>_xlfn.XLOOKUP(RobotDesignResults[[#This Row],[Team Number]],OfficialTeamList[Team Number],OfficialTeamList[Team Name],"",0,)</f>
        <v/>
      </c>
      <c r="C128" s="12"/>
      <c r="D128" s="12"/>
      <c r="E128" s="12"/>
      <c r="F128" s="12"/>
      <c r="G128" s="12"/>
      <c r="H128" s="12"/>
      <c r="I128" s="12"/>
      <c r="J128" s="12"/>
      <c r="K128" s="12"/>
      <c r="L128" s="12"/>
      <c r="M128" s="8">
        <f>SUM(RobotDesignResults[[#This Row],[Identify 1]:[Communicate 2 (CV)]])</f>
        <v>0</v>
      </c>
      <c r="N128" s="21">
        <f>IF(RobotDesignResults[[#This Row],[Team Number]]&gt;0,MIN(_xlfn.RANK.EQ(RobotDesignResults[[#This Row],[Engineering Design Score]],RobotDesignResults[Engineering Design Score],0),NumberOfTeams),NumberOfTeams+1)</f>
        <v>9</v>
      </c>
    </row>
    <row r="129" spans="1:14" ht="30" customHeight="1" x14ac:dyDescent="0.25">
      <c r="A129" s="8">
        <f>_xlfn.XLOOKUP(128,OfficialTeamList[Row],OfficialTeamList[Team Number],"ERROR",0)</f>
        <v>0</v>
      </c>
      <c r="B129" s="20" t="str">
        <f>_xlfn.XLOOKUP(RobotDesignResults[[#This Row],[Team Number]],OfficialTeamList[Team Number],OfficialTeamList[Team Name],"",0,)</f>
        <v/>
      </c>
      <c r="C129" s="12"/>
      <c r="D129" s="12"/>
      <c r="E129" s="12"/>
      <c r="F129" s="12"/>
      <c r="G129" s="12"/>
      <c r="H129" s="12"/>
      <c r="I129" s="12"/>
      <c r="J129" s="12"/>
      <c r="K129" s="12"/>
      <c r="L129" s="12"/>
      <c r="M129" s="8">
        <f>SUM(RobotDesignResults[[#This Row],[Identify 1]:[Communicate 2 (CV)]])</f>
        <v>0</v>
      </c>
      <c r="N129" s="21">
        <f>IF(RobotDesignResults[[#This Row],[Team Number]]&gt;0,MIN(_xlfn.RANK.EQ(RobotDesignResults[[#This Row],[Engineering Design Score]],RobotDesignResults[Engineering Design Score],0),NumberOfTeams),NumberOfTeams+1)</f>
        <v>9</v>
      </c>
    </row>
    <row r="130" spans="1:14" ht="30" customHeight="1" x14ac:dyDescent="0.25">
      <c r="A130" s="8">
        <f>_xlfn.XLOOKUP(129,OfficialTeamList[Row],OfficialTeamList[Team Number],"ERROR",0)</f>
        <v>0</v>
      </c>
      <c r="B130" s="20" t="str">
        <f>_xlfn.XLOOKUP(RobotDesignResults[[#This Row],[Team Number]],OfficialTeamList[Team Number],OfficialTeamList[Team Name],"",0,)</f>
        <v/>
      </c>
      <c r="C130" s="12"/>
      <c r="D130" s="12"/>
      <c r="E130" s="12"/>
      <c r="F130" s="12"/>
      <c r="G130" s="12"/>
      <c r="H130" s="12"/>
      <c r="I130" s="12"/>
      <c r="J130" s="12"/>
      <c r="K130" s="12"/>
      <c r="L130" s="12"/>
      <c r="M130" s="8">
        <f>SUM(RobotDesignResults[[#This Row],[Identify 1]:[Communicate 2 (CV)]])</f>
        <v>0</v>
      </c>
      <c r="N130" s="21">
        <f>IF(RobotDesignResults[[#This Row],[Team Number]]&gt;0,MIN(_xlfn.RANK.EQ(RobotDesignResults[[#This Row],[Engineering Design Score]],RobotDesignResults[Engineering Design Score],0),NumberOfTeams),NumberOfTeams+1)</f>
        <v>9</v>
      </c>
    </row>
    <row r="131" spans="1:14" ht="30" customHeight="1" x14ac:dyDescent="0.25">
      <c r="A131" s="8">
        <f>_xlfn.XLOOKUP(130,OfficialTeamList[Row],OfficialTeamList[Team Number],"ERROR",0)</f>
        <v>0</v>
      </c>
      <c r="B131" s="20" t="str">
        <f>_xlfn.XLOOKUP(RobotDesignResults[[#This Row],[Team Number]],OfficialTeamList[Team Number],OfficialTeamList[Team Name],"",0,)</f>
        <v/>
      </c>
      <c r="C131" s="12"/>
      <c r="D131" s="12"/>
      <c r="E131" s="12"/>
      <c r="F131" s="12"/>
      <c r="G131" s="12"/>
      <c r="H131" s="12"/>
      <c r="I131" s="12"/>
      <c r="J131" s="12"/>
      <c r="K131" s="12"/>
      <c r="L131" s="12"/>
      <c r="M131" s="8">
        <f>SUM(RobotDesignResults[[#This Row],[Identify 1]:[Communicate 2 (CV)]])</f>
        <v>0</v>
      </c>
      <c r="N131" s="21">
        <f>IF(RobotDesignResults[[#This Row],[Team Number]]&gt;0,MIN(_xlfn.RANK.EQ(RobotDesignResults[[#This Row],[Engineering Design Score]],RobotDesignResults[Engineering Design Score],0),NumberOfTeams),NumberOfTeams+1)</f>
        <v>9</v>
      </c>
    </row>
    <row r="132" spans="1:14" ht="30" customHeight="1" x14ac:dyDescent="0.25">
      <c r="A132" s="8">
        <f>_xlfn.XLOOKUP(131,OfficialTeamList[Row],OfficialTeamList[Team Number],"ERROR",0)</f>
        <v>0</v>
      </c>
      <c r="B132" s="20" t="str">
        <f>_xlfn.XLOOKUP(RobotDesignResults[[#This Row],[Team Number]],OfficialTeamList[Team Number],OfficialTeamList[Team Name],"",0,)</f>
        <v/>
      </c>
      <c r="C132" s="12"/>
      <c r="D132" s="12"/>
      <c r="E132" s="12"/>
      <c r="F132" s="12"/>
      <c r="G132" s="12"/>
      <c r="H132" s="12"/>
      <c r="I132" s="12"/>
      <c r="J132" s="12"/>
      <c r="K132" s="12"/>
      <c r="L132" s="12"/>
      <c r="M132" s="8">
        <f>SUM(RobotDesignResults[[#This Row],[Identify 1]:[Communicate 2 (CV)]])</f>
        <v>0</v>
      </c>
      <c r="N132" s="21">
        <f>IF(RobotDesignResults[[#This Row],[Team Number]]&gt;0,MIN(_xlfn.RANK.EQ(RobotDesignResults[[#This Row],[Engineering Design Score]],RobotDesignResults[Engineering Design Score],0),NumberOfTeams),NumberOfTeams+1)</f>
        <v>9</v>
      </c>
    </row>
    <row r="133" spans="1:14" ht="30" customHeight="1" x14ac:dyDescent="0.25">
      <c r="A133" s="8">
        <f>_xlfn.XLOOKUP(132,OfficialTeamList[Row],OfficialTeamList[Team Number],"ERROR",0)</f>
        <v>0</v>
      </c>
      <c r="B133" s="20" t="str">
        <f>_xlfn.XLOOKUP(RobotDesignResults[[#This Row],[Team Number]],OfficialTeamList[Team Number],OfficialTeamList[Team Name],"",0,)</f>
        <v/>
      </c>
      <c r="C133" s="12"/>
      <c r="D133" s="12"/>
      <c r="E133" s="12"/>
      <c r="F133" s="12"/>
      <c r="G133" s="12"/>
      <c r="H133" s="12"/>
      <c r="I133" s="12"/>
      <c r="J133" s="12"/>
      <c r="K133" s="12"/>
      <c r="L133" s="12"/>
      <c r="M133" s="8">
        <f>SUM(RobotDesignResults[[#This Row],[Identify 1]:[Communicate 2 (CV)]])</f>
        <v>0</v>
      </c>
      <c r="N133" s="21">
        <f>IF(RobotDesignResults[[#This Row],[Team Number]]&gt;0,MIN(_xlfn.RANK.EQ(RobotDesignResults[[#This Row],[Engineering Design Score]],RobotDesignResults[Engineering Design Score],0),NumberOfTeams),NumberOfTeams+1)</f>
        <v>9</v>
      </c>
    </row>
    <row r="134" spans="1:14" ht="30" customHeight="1" x14ac:dyDescent="0.25">
      <c r="A134" s="8">
        <f>_xlfn.XLOOKUP(133,OfficialTeamList[Row],OfficialTeamList[Team Number],"ERROR",0)</f>
        <v>0</v>
      </c>
      <c r="B134" s="20" t="str">
        <f>_xlfn.XLOOKUP(RobotDesignResults[[#This Row],[Team Number]],OfficialTeamList[Team Number],OfficialTeamList[Team Name],"",0,)</f>
        <v/>
      </c>
      <c r="C134" s="12"/>
      <c r="D134" s="12"/>
      <c r="E134" s="12"/>
      <c r="F134" s="12"/>
      <c r="G134" s="12"/>
      <c r="H134" s="12"/>
      <c r="I134" s="12"/>
      <c r="J134" s="12"/>
      <c r="K134" s="12"/>
      <c r="L134" s="12"/>
      <c r="M134" s="8">
        <f>SUM(RobotDesignResults[[#This Row],[Identify 1]:[Communicate 2 (CV)]])</f>
        <v>0</v>
      </c>
      <c r="N134" s="21">
        <f>IF(RobotDesignResults[[#This Row],[Team Number]]&gt;0,MIN(_xlfn.RANK.EQ(RobotDesignResults[[#This Row],[Engineering Design Score]],RobotDesignResults[Engineering Design Score],0),NumberOfTeams),NumberOfTeams+1)</f>
        <v>9</v>
      </c>
    </row>
    <row r="135" spans="1:14" ht="30" customHeight="1" x14ac:dyDescent="0.25">
      <c r="A135" s="8">
        <f>_xlfn.XLOOKUP(134,OfficialTeamList[Row],OfficialTeamList[Team Number],"ERROR",0)</f>
        <v>0</v>
      </c>
      <c r="B135" s="20" t="str">
        <f>_xlfn.XLOOKUP(RobotDesignResults[[#This Row],[Team Number]],OfficialTeamList[Team Number],OfficialTeamList[Team Name],"",0,)</f>
        <v/>
      </c>
      <c r="C135" s="12"/>
      <c r="D135" s="12"/>
      <c r="E135" s="12"/>
      <c r="F135" s="12"/>
      <c r="G135" s="12"/>
      <c r="H135" s="12"/>
      <c r="I135" s="12"/>
      <c r="J135" s="12"/>
      <c r="K135" s="12"/>
      <c r="L135" s="12"/>
      <c r="M135" s="8">
        <f>SUM(RobotDesignResults[[#This Row],[Identify 1]:[Communicate 2 (CV)]])</f>
        <v>0</v>
      </c>
      <c r="N135" s="21">
        <f>IF(RobotDesignResults[[#This Row],[Team Number]]&gt;0,MIN(_xlfn.RANK.EQ(RobotDesignResults[[#This Row],[Engineering Design Score]],RobotDesignResults[Engineering Design Score],0),NumberOfTeams),NumberOfTeams+1)</f>
        <v>9</v>
      </c>
    </row>
    <row r="136" spans="1:14" ht="30" customHeight="1" x14ac:dyDescent="0.25">
      <c r="A136" s="8">
        <f>_xlfn.XLOOKUP(135,OfficialTeamList[Row],OfficialTeamList[Team Number],"ERROR",0)</f>
        <v>0</v>
      </c>
      <c r="B136" s="20" t="str">
        <f>_xlfn.XLOOKUP(RobotDesignResults[[#This Row],[Team Number]],OfficialTeamList[Team Number],OfficialTeamList[Team Name],"",0,)</f>
        <v/>
      </c>
      <c r="C136" s="12"/>
      <c r="D136" s="12"/>
      <c r="E136" s="12"/>
      <c r="F136" s="12"/>
      <c r="G136" s="12"/>
      <c r="H136" s="12"/>
      <c r="I136" s="12"/>
      <c r="J136" s="12"/>
      <c r="K136" s="12"/>
      <c r="L136" s="12"/>
      <c r="M136" s="8">
        <f>SUM(RobotDesignResults[[#This Row],[Identify 1]:[Communicate 2 (CV)]])</f>
        <v>0</v>
      </c>
      <c r="N136" s="21">
        <f>IF(RobotDesignResults[[#This Row],[Team Number]]&gt;0,MIN(_xlfn.RANK.EQ(RobotDesignResults[[#This Row],[Engineering Design Score]],RobotDesignResults[Engineering Design Score],0),NumberOfTeams),NumberOfTeams+1)</f>
        <v>9</v>
      </c>
    </row>
    <row r="137" spans="1:14" ht="30" customHeight="1" x14ac:dyDescent="0.25">
      <c r="A137" s="8">
        <f>_xlfn.XLOOKUP(136,OfficialTeamList[Row],OfficialTeamList[Team Number],"ERROR",0)</f>
        <v>0</v>
      </c>
      <c r="B137" s="20" t="str">
        <f>_xlfn.XLOOKUP(RobotDesignResults[[#This Row],[Team Number]],OfficialTeamList[Team Number],OfficialTeamList[Team Name],"",0,)</f>
        <v/>
      </c>
      <c r="C137" s="12"/>
      <c r="D137" s="12"/>
      <c r="E137" s="12"/>
      <c r="F137" s="12"/>
      <c r="G137" s="12"/>
      <c r="H137" s="12"/>
      <c r="I137" s="12"/>
      <c r="J137" s="12"/>
      <c r="K137" s="12"/>
      <c r="L137" s="12"/>
      <c r="M137" s="8">
        <f>SUM(RobotDesignResults[[#This Row],[Identify 1]:[Communicate 2 (CV)]])</f>
        <v>0</v>
      </c>
      <c r="N137" s="21">
        <f>IF(RobotDesignResults[[#This Row],[Team Number]]&gt;0,MIN(_xlfn.RANK.EQ(RobotDesignResults[[#This Row],[Engineering Design Score]],RobotDesignResults[Engineering Design Score],0),NumberOfTeams),NumberOfTeams+1)</f>
        <v>9</v>
      </c>
    </row>
    <row r="138" spans="1:14" ht="30" customHeight="1" x14ac:dyDescent="0.25">
      <c r="A138" s="8">
        <f>_xlfn.XLOOKUP(137,OfficialTeamList[Row],OfficialTeamList[Team Number],"ERROR",0)</f>
        <v>0</v>
      </c>
      <c r="B138" s="20" t="str">
        <f>_xlfn.XLOOKUP(RobotDesignResults[[#This Row],[Team Number]],OfficialTeamList[Team Number],OfficialTeamList[Team Name],"",0,)</f>
        <v/>
      </c>
      <c r="C138" s="12"/>
      <c r="D138" s="12"/>
      <c r="E138" s="12"/>
      <c r="F138" s="12"/>
      <c r="G138" s="12"/>
      <c r="H138" s="12"/>
      <c r="I138" s="12"/>
      <c r="J138" s="12"/>
      <c r="K138" s="12"/>
      <c r="L138" s="12"/>
      <c r="M138" s="8">
        <f>SUM(RobotDesignResults[[#This Row],[Identify 1]:[Communicate 2 (CV)]])</f>
        <v>0</v>
      </c>
      <c r="N138" s="21">
        <f>IF(RobotDesignResults[[#This Row],[Team Number]]&gt;0,MIN(_xlfn.RANK.EQ(RobotDesignResults[[#This Row],[Engineering Design Score]],RobotDesignResults[Engineering Design Score],0),NumberOfTeams),NumberOfTeams+1)</f>
        <v>9</v>
      </c>
    </row>
    <row r="139" spans="1:14" ht="30" customHeight="1" x14ac:dyDescent="0.25">
      <c r="A139" s="8">
        <f>_xlfn.XLOOKUP(138,OfficialTeamList[Row],OfficialTeamList[Team Number],"ERROR",0)</f>
        <v>0</v>
      </c>
      <c r="B139" s="20" t="str">
        <f>_xlfn.XLOOKUP(RobotDesignResults[[#This Row],[Team Number]],OfficialTeamList[Team Number],OfficialTeamList[Team Name],"",0,)</f>
        <v/>
      </c>
      <c r="C139" s="12"/>
      <c r="D139" s="12"/>
      <c r="E139" s="12"/>
      <c r="F139" s="12"/>
      <c r="G139" s="12"/>
      <c r="H139" s="12"/>
      <c r="I139" s="12"/>
      <c r="J139" s="12"/>
      <c r="K139" s="12"/>
      <c r="L139" s="12"/>
      <c r="M139" s="8">
        <f>SUM(RobotDesignResults[[#This Row],[Identify 1]:[Communicate 2 (CV)]])</f>
        <v>0</v>
      </c>
      <c r="N139" s="21">
        <f>IF(RobotDesignResults[[#This Row],[Team Number]]&gt;0,MIN(_xlfn.RANK.EQ(RobotDesignResults[[#This Row],[Engineering Design Score]],RobotDesignResults[Engineering Design Score],0),NumberOfTeams),NumberOfTeams+1)</f>
        <v>9</v>
      </c>
    </row>
    <row r="140" spans="1:14" ht="30" customHeight="1" x14ac:dyDescent="0.25">
      <c r="A140" s="8">
        <f>_xlfn.XLOOKUP(139,OfficialTeamList[Row],OfficialTeamList[Team Number],"ERROR",0)</f>
        <v>0</v>
      </c>
      <c r="B140" s="20" t="str">
        <f>_xlfn.XLOOKUP(RobotDesignResults[[#This Row],[Team Number]],OfficialTeamList[Team Number],OfficialTeamList[Team Name],"",0,)</f>
        <v/>
      </c>
      <c r="C140" s="12"/>
      <c r="D140" s="12"/>
      <c r="E140" s="12"/>
      <c r="F140" s="12"/>
      <c r="G140" s="12"/>
      <c r="H140" s="12"/>
      <c r="I140" s="12"/>
      <c r="J140" s="12"/>
      <c r="K140" s="12"/>
      <c r="L140" s="12"/>
      <c r="M140" s="8">
        <f>SUM(RobotDesignResults[[#This Row],[Identify 1]:[Communicate 2 (CV)]])</f>
        <v>0</v>
      </c>
      <c r="N140" s="21">
        <f>IF(RobotDesignResults[[#This Row],[Team Number]]&gt;0,MIN(_xlfn.RANK.EQ(RobotDesignResults[[#This Row],[Engineering Design Score]],RobotDesignResults[Engineering Design Score],0),NumberOfTeams),NumberOfTeams+1)</f>
        <v>9</v>
      </c>
    </row>
    <row r="141" spans="1:14" ht="30" customHeight="1" x14ac:dyDescent="0.25">
      <c r="A141" s="8">
        <f>_xlfn.XLOOKUP(140,OfficialTeamList[Row],OfficialTeamList[Team Number],"ERROR",0)</f>
        <v>0</v>
      </c>
      <c r="B141" s="20" t="str">
        <f>_xlfn.XLOOKUP(RobotDesignResults[[#This Row],[Team Number]],OfficialTeamList[Team Number],OfficialTeamList[Team Name],"",0,)</f>
        <v/>
      </c>
      <c r="C141" s="12"/>
      <c r="D141" s="12"/>
      <c r="E141" s="12"/>
      <c r="F141" s="12"/>
      <c r="G141" s="12"/>
      <c r="H141" s="12"/>
      <c r="I141" s="12"/>
      <c r="J141" s="12"/>
      <c r="K141" s="12"/>
      <c r="L141" s="12"/>
      <c r="M141" s="8">
        <f>SUM(RobotDesignResults[[#This Row],[Identify 1]:[Communicate 2 (CV)]])</f>
        <v>0</v>
      </c>
      <c r="N141" s="21">
        <f>IF(RobotDesignResults[[#This Row],[Team Number]]&gt;0,MIN(_xlfn.RANK.EQ(RobotDesignResults[[#This Row],[Engineering Design Score]],RobotDesignResults[Engineering Design Score],0),NumberOfTeams),NumberOfTeams+1)</f>
        <v>9</v>
      </c>
    </row>
    <row r="142" spans="1:14" ht="30" customHeight="1" x14ac:dyDescent="0.25">
      <c r="A142" s="8">
        <f>_xlfn.XLOOKUP(141,OfficialTeamList[Row],OfficialTeamList[Team Number],"ERROR",0)</f>
        <v>0</v>
      </c>
      <c r="B142" s="20" t="str">
        <f>_xlfn.XLOOKUP(RobotDesignResults[[#This Row],[Team Number]],OfficialTeamList[Team Number],OfficialTeamList[Team Name],"",0,)</f>
        <v/>
      </c>
      <c r="C142" s="12"/>
      <c r="D142" s="12"/>
      <c r="E142" s="12"/>
      <c r="F142" s="12"/>
      <c r="G142" s="12"/>
      <c r="H142" s="12"/>
      <c r="I142" s="12"/>
      <c r="J142" s="12"/>
      <c r="K142" s="12"/>
      <c r="L142" s="12"/>
      <c r="M142" s="8">
        <f>SUM(RobotDesignResults[[#This Row],[Identify 1]:[Communicate 2 (CV)]])</f>
        <v>0</v>
      </c>
      <c r="N142" s="21">
        <f>IF(RobotDesignResults[[#This Row],[Team Number]]&gt;0,MIN(_xlfn.RANK.EQ(RobotDesignResults[[#This Row],[Engineering Design Score]],RobotDesignResults[Engineering Design Score],0),NumberOfTeams),NumberOfTeams+1)</f>
        <v>9</v>
      </c>
    </row>
    <row r="143" spans="1:14" ht="30" customHeight="1" x14ac:dyDescent="0.25">
      <c r="A143" s="8">
        <f>_xlfn.XLOOKUP(142,OfficialTeamList[Row],OfficialTeamList[Team Number],"ERROR",0)</f>
        <v>0</v>
      </c>
      <c r="B143" s="20" t="str">
        <f>_xlfn.XLOOKUP(RobotDesignResults[[#This Row],[Team Number]],OfficialTeamList[Team Number],OfficialTeamList[Team Name],"",0,)</f>
        <v/>
      </c>
      <c r="C143" s="12"/>
      <c r="D143" s="12"/>
      <c r="E143" s="12"/>
      <c r="F143" s="12"/>
      <c r="G143" s="12"/>
      <c r="H143" s="12"/>
      <c r="I143" s="12"/>
      <c r="J143" s="12"/>
      <c r="K143" s="12"/>
      <c r="L143" s="12"/>
      <c r="M143" s="8">
        <f>SUM(RobotDesignResults[[#This Row],[Identify 1]:[Communicate 2 (CV)]])</f>
        <v>0</v>
      </c>
      <c r="N143" s="21">
        <f>IF(RobotDesignResults[[#This Row],[Team Number]]&gt;0,MIN(_xlfn.RANK.EQ(RobotDesignResults[[#This Row],[Engineering Design Score]],RobotDesignResults[Engineering Design Score],0),NumberOfTeams),NumberOfTeams+1)</f>
        <v>9</v>
      </c>
    </row>
    <row r="144" spans="1:14" ht="30" customHeight="1" x14ac:dyDescent="0.25">
      <c r="A144" s="8">
        <f>_xlfn.XLOOKUP(143,OfficialTeamList[Row],OfficialTeamList[Team Number],"ERROR",0)</f>
        <v>0</v>
      </c>
      <c r="B144" s="20" t="str">
        <f>_xlfn.XLOOKUP(RobotDesignResults[[#This Row],[Team Number]],OfficialTeamList[Team Number],OfficialTeamList[Team Name],"",0,)</f>
        <v/>
      </c>
      <c r="C144" s="12"/>
      <c r="D144" s="12"/>
      <c r="E144" s="12"/>
      <c r="F144" s="12"/>
      <c r="G144" s="12"/>
      <c r="H144" s="12"/>
      <c r="I144" s="12"/>
      <c r="J144" s="12"/>
      <c r="K144" s="12"/>
      <c r="L144" s="12"/>
      <c r="M144" s="8">
        <f>SUM(RobotDesignResults[[#This Row],[Identify 1]:[Communicate 2 (CV)]])</f>
        <v>0</v>
      </c>
      <c r="N144" s="21">
        <f>IF(RobotDesignResults[[#This Row],[Team Number]]&gt;0,MIN(_xlfn.RANK.EQ(RobotDesignResults[[#This Row],[Engineering Design Score]],RobotDesignResults[Engineering Design Score],0),NumberOfTeams),NumberOfTeams+1)</f>
        <v>9</v>
      </c>
    </row>
    <row r="145" spans="1:14" ht="30" customHeight="1" x14ac:dyDescent="0.25">
      <c r="A145" s="8">
        <f>_xlfn.XLOOKUP(144,OfficialTeamList[Row],OfficialTeamList[Team Number],"ERROR",0)</f>
        <v>0</v>
      </c>
      <c r="B145" s="20" t="str">
        <f>_xlfn.XLOOKUP(RobotDesignResults[[#This Row],[Team Number]],OfficialTeamList[Team Number],OfficialTeamList[Team Name],"",0,)</f>
        <v/>
      </c>
      <c r="C145" s="12"/>
      <c r="D145" s="12"/>
      <c r="E145" s="12"/>
      <c r="F145" s="12"/>
      <c r="G145" s="12"/>
      <c r="H145" s="12"/>
      <c r="I145" s="12"/>
      <c r="J145" s="12"/>
      <c r="K145" s="12"/>
      <c r="L145" s="12"/>
      <c r="M145" s="8">
        <f>SUM(RobotDesignResults[[#This Row],[Identify 1]:[Communicate 2 (CV)]])</f>
        <v>0</v>
      </c>
      <c r="N145" s="21">
        <f>IF(RobotDesignResults[[#This Row],[Team Number]]&gt;0,MIN(_xlfn.RANK.EQ(RobotDesignResults[[#This Row],[Engineering Design Score]],RobotDesignResults[Engineering Design Score],0),NumberOfTeams),NumberOfTeams+1)</f>
        <v>9</v>
      </c>
    </row>
    <row r="146" spans="1:14" ht="30" customHeight="1" x14ac:dyDescent="0.25">
      <c r="A146" s="8">
        <f>_xlfn.XLOOKUP(145,OfficialTeamList[Row],OfficialTeamList[Team Number],"ERROR",0)</f>
        <v>0</v>
      </c>
      <c r="B146" s="20" t="str">
        <f>_xlfn.XLOOKUP(RobotDesignResults[[#This Row],[Team Number]],OfficialTeamList[Team Number],OfficialTeamList[Team Name],"",0,)</f>
        <v/>
      </c>
      <c r="C146" s="12"/>
      <c r="D146" s="12"/>
      <c r="E146" s="12"/>
      <c r="F146" s="12"/>
      <c r="G146" s="12"/>
      <c r="H146" s="12"/>
      <c r="I146" s="12"/>
      <c r="J146" s="12"/>
      <c r="K146" s="12"/>
      <c r="L146" s="12"/>
      <c r="M146" s="8">
        <f>SUM(RobotDesignResults[[#This Row],[Identify 1]:[Communicate 2 (CV)]])</f>
        <v>0</v>
      </c>
      <c r="N146" s="21">
        <f>IF(RobotDesignResults[[#This Row],[Team Number]]&gt;0,MIN(_xlfn.RANK.EQ(RobotDesignResults[[#This Row],[Engineering Design Score]],RobotDesignResults[Engineering Design Score],0),NumberOfTeams),NumberOfTeams+1)</f>
        <v>9</v>
      </c>
    </row>
    <row r="147" spans="1:14" ht="30" customHeight="1" x14ac:dyDescent="0.25">
      <c r="A147" s="8">
        <f>_xlfn.XLOOKUP(146,OfficialTeamList[Row],OfficialTeamList[Team Number],"ERROR",0)</f>
        <v>0</v>
      </c>
      <c r="B147" s="20" t="str">
        <f>_xlfn.XLOOKUP(RobotDesignResults[[#This Row],[Team Number]],OfficialTeamList[Team Number],OfficialTeamList[Team Name],"",0,)</f>
        <v/>
      </c>
      <c r="C147" s="12"/>
      <c r="D147" s="12"/>
      <c r="E147" s="12"/>
      <c r="F147" s="12"/>
      <c r="G147" s="12"/>
      <c r="H147" s="12"/>
      <c r="I147" s="12"/>
      <c r="J147" s="12"/>
      <c r="K147" s="12"/>
      <c r="L147" s="12"/>
      <c r="M147" s="8">
        <f>SUM(RobotDesignResults[[#This Row],[Identify 1]:[Communicate 2 (CV)]])</f>
        <v>0</v>
      </c>
      <c r="N147" s="21">
        <f>IF(RobotDesignResults[[#This Row],[Team Number]]&gt;0,MIN(_xlfn.RANK.EQ(RobotDesignResults[[#This Row],[Engineering Design Score]],RobotDesignResults[Engineering Design Score],0),NumberOfTeams),NumberOfTeams+1)</f>
        <v>9</v>
      </c>
    </row>
    <row r="148" spans="1:14" ht="30" customHeight="1" x14ac:dyDescent="0.25">
      <c r="A148" s="8">
        <f>_xlfn.XLOOKUP(147,OfficialTeamList[Row],OfficialTeamList[Team Number],"ERROR",0)</f>
        <v>0</v>
      </c>
      <c r="B148" s="20" t="str">
        <f>_xlfn.XLOOKUP(RobotDesignResults[[#This Row],[Team Number]],OfficialTeamList[Team Number],OfficialTeamList[Team Name],"",0,)</f>
        <v/>
      </c>
      <c r="C148" s="12"/>
      <c r="D148" s="12"/>
      <c r="E148" s="12"/>
      <c r="F148" s="12"/>
      <c r="G148" s="12"/>
      <c r="H148" s="12"/>
      <c r="I148" s="12"/>
      <c r="J148" s="12"/>
      <c r="K148" s="12"/>
      <c r="L148" s="12"/>
      <c r="M148" s="8">
        <f>SUM(RobotDesignResults[[#This Row],[Identify 1]:[Communicate 2 (CV)]])</f>
        <v>0</v>
      </c>
      <c r="N148" s="21">
        <f>IF(RobotDesignResults[[#This Row],[Team Number]]&gt;0,MIN(_xlfn.RANK.EQ(RobotDesignResults[[#This Row],[Engineering Design Score]],RobotDesignResults[Engineering Design Score],0),NumberOfTeams),NumberOfTeams+1)</f>
        <v>9</v>
      </c>
    </row>
    <row r="149" spans="1:14" ht="30" customHeight="1" x14ac:dyDescent="0.25">
      <c r="A149" s="8">
        <f>_xlfn.XLOOKUP(148,OfficialTeamList[Row],OfficialTeamList[Team Number],"ERROR",0)</f>
        <v>0</v>
      </c>
      <c r="B149" s="20" t="str">
        <f>_xlfn.XLOOKUP(RobotDesignResults[[#This Row],[Team Number]],OfficialTeamList[Team Number],OfficialTeamList[Team Name],"",0,)</f>
        <v/>
      </c>
      <c r="C149" s="12"/>
      <c r="D149" s="12"/>
      <c r="E149" s="12"/>
      <c r="F149" s="12"/>
      <c r="G149" s="12"/>
      <c r="H149" s="12"/>
      <c r="I149" s="12"/>
      <c r="J149" s="12"/>
      <c r="K149" s="12"/>
      <c r="L149" s="12"/>
      <c r="M149" s="8">
        <f>SUM(RobotDesignResults[[#This Row],[Identify 1]:[Communicate 2 (CV)]])</f>
        <v>0</v>
      </c>
      <c r="N149" s="21">
        <f>IF(RobotDesignResults[[#This Row],[Team Number]]&gt;0,MIN(_xlfn.RANK.EQ(RobotDesignResults[[#This Row],[Engineering Design Score]],RobotDesignResults[Engineering Design Score],0),NumberOfTeams),NumberOfTeams+1)</f>
        <v>9</v>
      </c>
    </row>
    <row r="150" spans="1:14" ht="30" customHeight="1" x14ac:dyDescent="0.25">
      <c r="A150" s="8">
        <f>_xlfn.XLOOKUP(149,OfficialTeamList[Row],OfficialTeamList[Team Number],"ERROR",0)</f>
        <v>0</v>
      </c>
      <c r="B150" s="20" t="str">
        <f>_xlfn.XLOOKUP(RobotDesignResults[[#This Row],[Team Number]],OfficialTeamList[Team Number],OfficialTeamList[Team Name],"",0,)</f>
        <v/>
      </c>
      <c r="C150" s="12"/>
      <c r="D150" s="12"/>
      <c r="E150" s="12"/>
      <c r="F150" s="12"/>
      <c r="G150" s="12"/>
      <c r="H150" s="12"/>
      <c r="I150" s="12"/>
      <c r="J150" s="12"/>
      <c r="K150" s="12"/>
      <c r="L150" s="12"/>
      <c r="M150" s="8">
        <f>SUM(RobotDesignResults[[#This Row],[Identify 1]:[Communicate 2 (CV)]])</f>
        <v>0</v>
      </c>
      <c r="N150" s="21">
        <f>IF(RobotDesignResults[[#This Row],[Team Number]]&gt;0,MIN(_xlfn.RANK.EQ(RobotDesignResults[[#This Row],[Engineering Design Score]],RobotDesignResults[Engineering Design Score],0),NumberOfTeams),NumberOfTeams+1)</f>
        <v>9</v>
      </c>
    </row>
    <row r="151" spans="1:14" ht="30" customHeight="1" x14ac:dyDescent="0.25">
      <c r="A151" s="8">
        <f>_xlfn.XLOOKUP(150,OfficialTeamList[Row],OfficialTeamList[Team Number],"ERROR",0)</f>
        <v>0</v>
      </c>
      <c r="B151" s="20" t="str">
        <f>_xlfn.XLOOKUP(RobotDesignResults[[#This Row],[Team Number]],OfficialTeamList[Team Number],OfficialTeamList[Team Name],"",0,)</f>
        <v/>
      </c>
      <c r="C151" s="12"/>
      <c r="D151" s="12"/>
      <c r="E151" s="12"/>
      <c r="F151" s="12"/>
      <c r="G151" s="12"/>
      <c r="H151" s="12"/>
      <c r="I151" s="12"/>
      <c r="J151" s="12"/>
      <c r="K151" s="12"/>
      <c r="L151" s="12"/>
      <c r="M151" s="8">
        <f>SUM(RobotDesignResults[[#This Row],[Identify 1]:[Communicate 2 (CV)]])</f>
        <v>0</v>
      </c>
      <c r="N151" s="21">
        <f>IF(RobotDesignResults[[#This Row],[Team Number]]&gt;0,MIN(_xlfn.RANK.EQ(RobotDesignResults[[#This Row],[Engineering Design Score]],RobotDesignResults[Engineering Design Score],0),NumberOfTeams),NumberOfTeams+1)</f>
        <v>9</v>
      </c>
    </row>
    <row r="152" spans="1:14" ht="30" customHeight="1" x14ac:dyDescent="0.25">
      <c r="A152" s="8">
        <f>_xlfn.XLOOKUP(151,OfficialTeamList[Row],OfficialTeamList[Team Number],"ERROR",0)</f>
        <v>0</v>
      </c>
      <c r="B152" s="20" t="str">
        <f>_xlfn.XLOOKUP(RobotDesignResults[[#This Row],[Team Number]],OfficialTeamList[Team Number],OfficialTeamList[Team Name],"",0,)</f>
        <v/>
      </c>
      <c r="C152" s="12"/>
      <c r="D152" s="12"/>
      <c r="E152" s="12"/>
      <c r="F152" s="12"/>
      <c r="G152" s="12"/>
      <c r="H152" s="12"/>
      <c r="I152" s="12"/>
      <c r="J152" s="12"/>
      <c r="K152" s="12"/>
      <c r="L152" s="12"/>
      <c r="M152" s="8">
        <f>SUM(RobotDesignResults[[#This Row],[Identify 1]:[Communicate 2 (CV)]])</f>
        <v>0</v>
      </c>
      <c r="N152" s="21">
        <f>IF(RobotDesignResults[[#This Row],[Team Number]]&gt;0,MIN(_xlfn.RANK.EQ(RobotDesignResults[[#This Row],[Engineering Design Score]],RobotDesignResults[Engineering Design Score],0),NumberOfTeams),NumberOfTeams+1)</f>
        <v>9</v>
      </c>
    </row>
    <row r="153" spans="1:14" ht="30" customHeight="1" x14ac:dyDescent="0.25">
      <c r="A153" s="8">
        <f>_xlfn.XLOOKUP(152,OfficialTeamList[Row],OfficialTeamList[Team Number],"ERROR",0)</f>
        <v>0</v>
      </c>
      <c r="B153" s="20" t="str">
        <f>_xlfn.XLOOKUP(RobotDesignResults[[#This Row],[Team Number]],OfficialTeamList[Team Number],OfficialTeamList[Team Name],"",0,)</f>
        <v/>
      </c>
      <c r="C153" s="12"/>
      <c r="D153" s="12"/>
      <c r="E153" s="12"/>
      <c r="F153" s="12"/>
      <c r="G153" s="12"/>
      <c r="H153" s="12"/>
      <c r="I153" s="12"/>
      <c r="J153" s="12"/>
      <c r="K153" s="12"/>
      <c r="L153" s="12"/>
      <c r="M153" s="8">
        <f>SUM(RobotDesignResults[[#This Row],[Identify 1]:[Communicate 2 (CV)]])</f>
        <v>0</v>
      </c>
      <c r="N153" s="21">
        <f>IF(RobotDesignResults[[#This Row],[Team Number]]&gt;0,MIN(_xlfn.RANK.EQ(RobotDesignResults[[#This Row],[Engineering Design Score]],RobotDesignResults[Engineering Design Score],0),NumberOfTeams),NumberOfTeams+1)</f>
        <v>9</v>
      </c>
    </row>
    <row r="154" spans="1:14" ht="30" customHeight="1" x14ac:dyDescent="0.25">
      <c r="A154" s="8">
        <f>_xlfn.XLOOKUP(153,OfficialTeamList[Row],OfficialTeamList[Team Number],"ERROR",0)</f>
        <v>0</v>
      </c>
      <c r="B154" s="20" t="str">
        <f>_xlfn.XLOOKUP(RobotDesignResults[[#This Row],[Team Number]],OfficialTeamList[Team Number],OfficialTeamList[Team Name],"",0,)</f>
        <v/>
      </c>
      <c r="C154" s="12"/>
      <c r="D154" s="12"/>
      <c r="E154" s="12"/>
      <c r="F154" s="12"/>
      <c r="G154" s="12"/>
      <c r="H154" s="12"/>
      <c r="I154" s="12"/>
      <c r="J154" s="12"/>
      <c r="K154" s="12"/>
      <c r="L154" s="12"/>
      <c r="M154" s="8">
        <f>SUM(RobotDesignResults[[#This Row],[Identify 1]:[Communicate 2 (CV)]])</f>
        <v>0</v>
      </c>
      <c r="N154" s="21">
        <f>IF(RobotDesignResults[[#This Row],[Team Number]]&gt;0,MIN(_xlfn.RANK.EQ(RobotDesignResults[[#This Row],[Engineering Design Score]],RobotDesignResults[Engineering Design Score],0),NumberOfTeams),NumberOfTeams+1)</f>
        <v>9</v>
      </c>
    </row>
    <row r="155" spans="1:14" ht="30" customHeight="1" x14ac:dyDescent="0.25">
      <c r="A155" s="8">
        <f>_xlfn.XLOOKUP(154,OfficialTeamList[Row],OfficialTeamList[Team Number],"ERROR",0)</f>
        <v>0</v>
      </c>
      <c r="B155" s="20" t="str">
        <f>_xlfn.XLOOKUP(RobotDesignResults[[#This Row],[Team Number]],OfficialTeamList[Team Number],OfficialTeamList[Team Name],"",0,)</f>
        <v/>
      </c>
      <c r="C155" s="12"/>
      <c r="D155" s="12"/>
      <c r="E155" s="12"/>
      <c r="F155" s="12"/>
      <c r="G155" s="12"/>
      <c r="H155" s="12"/>
      <c r="I155" s="12"/>
      <c r="J155" s="12"/>
      <c r="K155" s="12"/>
      <c r="L155" s="12"/>
      <c r="M155" s="8">
        <f>SUM(RobotDesignResults[[#This Row],[Identify 1]:[Communicate 2 (CV)]])</f>
        <v>0</v>
      </c>
      <c r="N155" s="21">
        <f>IF(RobotDesignResults[[#This Row],[Team Number]]&gt;0,MIN(_xlfn.RANK.EQ(RobotDesignResults[[#This Row],[Engineering Design Score]],RobotDesignResults[Engineering Design Score],0),NumberOfTeams),NumberOfTeams+1)</f>
        <v>9</v>
      </c>
    </row>
    <row r="156" spans="1:14" ht="30" customHeight="1" x14ac:dyDescent="0.25">
      <c r="A156" s="8">
        <f>_xlfn.XLOOKUP(155,OfficialTeamList[Row],OfficialTeamList[Team Number],"ERROR",0)</f>
        <v>0</v>
      </c>
      <c r="B156" s="20" t="str">
        <f>_xlfn.XLOOKUP(RobotDesignResults[[#This Row],[Team Number]],OfficialTeamList[Team Number],OfficialTeamList[Team Name],"",0,)</f>
        <v/>
      </c>
      <c r="C156" s="12"/>
      <c r="D156" s="12"/>
      <c r="E156" s="12"/>
      <c r="F156" s="12"/>
      <c r="G156" s="12"/>
      <c r="H156" s="12"/>
      <c r="I156" s="12"/>
      <c r="J156" s="12"/>
      <c r="K156" s="12"/>
      <c r="L156" s="12"/>
      <c r="M156" s="8">
        <f>SUM(RobotDesignResults[[#This Row],[Identify 1]:[Communicate 2 (CV)]])</f>
        <v>0</v>
      </c>
      <c r="N156" s="21">
        <f>IF(RobotDesignResults[[#This Row],[Team Number]]&gt;0,MIN(_xlfn.RANK.EQ(RobotDesignResults[[#This Row],[Engineering Design Score]],RobotDesignResults[Engineering Design Score],0),NumberOfTeams),NumberOfTeams+1)</f>
        <v>9</v>
      </c>
    </row>
    <row r="157" spans="1:14" ht="30" customHeight="1" x14ac:dyDescent="0.25">
      <c r="A157" s="8">
        <f>_xlfn.XLOOKUP(156,OfficialTeamList[Row],OfficialTeamList[Team Number],"ERROR",0)</f>
        <v>0</v>
      </c>
      <c r="B157" s="20" t="str">
        <f>_xlfn.XLOOKUP(RobotDesignResults[[#This Row],[Team Number]],OfficialTeamList[Team Number],OfficialTeamList[Team Name],"",0,)</f>
        <v/>
      </c>
      <c r="C157" s="12"/>
      <c r="D157" s="12"/>
      <c r="E157" s="12"/>
      <c r="F157" s="12"/>
      <c r="G157" s="12"/>
      <c r="H157" s="12"/>
      <c r="I157" s="12"/>
      <c r="J157" s="12"/>
      <c r="K157" s="12"/>
      <c r="L157" s="12"/>
      <c r="M157" s="8">
        <f>SUM(RobotDesignResults[[#This Row],[Identify 1]:[Communicate 2 (CV)]])</f>
        <v>0</v>
      </c>
      <c r="N157" s="21">
        <f>IF(RobotDesignResults[[#This Row],[Team Number]]&gt;0,MIN(_xlfn.RANK.EQ(RobotDesignResults[[#This Row],[Engineering Design Score]],RobotDesignResults[Engineering Design Score],0),NumberOfTeams),NumberOfTeams+1)</f>
        <v>9</v>
      </c>
    </row>
    <row r="158" spans="1:14" ht="30" customHeight="1" x14ac:dyDescent="0.25">
      <c r="A158" s="8">
        <f>_xlfn.XLOOKUP(157,OfficialTeamList[Row],OfficialTeamList[Team Number],"ERROR",0)</f>
        <v>0</v>
      </c>
      <c r="B158" s="20" t="str">
        <f>_xlfn.XLOOKUP(RobotDesignResults[[#This Row],[Team Number]],OfficialTeamList[Team Number],OfficialTeamList[Team Name],"",0,)</f>
        <v/>
      </c>
      <c r="C158" s="12"/>
      <c r="D158" s="12"/>
      <c r="E158" s="12"/>
      <c r="F158" s="12"/>
      <c r="G158" s="12"/>
      <c r="H158" s="12"/>
      <c r="I158" s="12"/>
      <c r="J158" s="12"/>
      <c r="K158" s="12"/>
      <c r="L158" s="12"/>
      <c r="M158" s="8">
        <f>SUM(RobotDesignResults[[#This Row],[Identify 1]:[Communicate 2 (CV)]])</f>
        <v>0</v>
      </c>
      <c r="N158" s="21">
        <f>IF(RobotDesignResults[[#This Row],[Team Number]]&gt;0,MIN(_xlfn.RANK.EQ(RobotDesignResults[[#This Row],[Engineering Design Score]],RobotDesignResults[Engineering Design Score],0),NumberOfTeams),NumberOfTeams+1)</f>
        <v>9</v>
      </c>
    </row>
    <row r="159" spans="1:14" ht="30" customHeight="1" x14ac:dyDescent="0.25">
      <c r="A159" s="8">
        <f>_xlfn.XLOOKUP(158,OfficialTeamList[Row],OfficialTeamList[Team Number],"ERROR",0)</f>
        <v>0</v>
      </c>
      <c r="B159" s="20" t="str">
        <f>_xlfn.XLOOKUP(RobotDesignResults[[#This Row],[Team Number]],OfficialTeamList[Team Number],OfficialTeamList[Team Name],"",0,)</f>
        <v/>
      </c>
      <c r="C159" s="12"/>
      <c r="D159" s="12"/>
      <c r="E159" s="12"/>
      <c r="F159" s="12"/>
      <c r="G159" s="12"/>
      <c r="H159" s="12"/>
      <c r="I159" s="12"/>
      <c r="J159" s="12"/>
      <c r="K159" s="12"/>
      <c r="L159" s="12"/>
      <c r="M159" s="8">
        <f>SUM(RobotDesignResults[[#This Row],[Identify 1]:[Communicate 2 (CV)]])</f>
        <v>0</v>
      </c>
      <c r="N159" s="21">
        <f>IF(RobotDesignResults[[#This Row],[Team Number]]&gt;0,MIN(_xlfn.RANK.EQ(RobotDesignResults[[#This Row],[Engineering Design Score]],RobotDesignResults[Engineering Design Score],0),NumberOfTeams),NumberOfTeams+1)</f>
        <v>9</v>
      </c>
    </row>
    <row r="160" spans="1:14" ht="30" customHeight="1" x14ac:dyDescent="0.25">
      <c r="A160" s="8">
        <f>_xlfn.XLOOKUP(159,OfficialTeamList[Row],OfficialTeamList[Team Number],"ERROR",0)</f>
        <v>0</v>
      </c>
      <c r="B160" s="20" t="str">
        <f>_xlfn.XLOOKUP(RobotDesignResults[[#This Row],[Team Number]],OfficialTeamList[Team Number],OfficialTeamList[Team Name],"",0,)</f>
        <v/>
      </c>
      <c r="C160" s="12"/>
      <c r="D160" s="12"/>
      <c r="E160" s="12"/>
      <c r="F160" s="12"/>
      <c r="G160" s="12"/>
      <c r="H160" s="12"/>
      <c r="I160" s="12"/>
      <c r="J160" s="12"/>
      <c r="K160" s="12"/>
      <c r="L160" s="12"/>
      <c r="M160" s="8">
        <f>SUM(RobotDesignResults[[#This Row],[Identify 1]:[Communicate 2 (CV)]])</f>
        <v>0</v>
      </c>
      <c r="N160" s="21">
        <f>IF(RobotDesignResults[[#This Row],[Team Number]]&gt;0,MIN(_xlfn.RANK.EQ(RobotDesignResults[[#This Row],[Engineering Design Score]],RobotDesignResults[Engineering Design Score],0),NumberOfTeams),NumberOfTeams+1)</f>
        <v>9</v>
      </c>
    </row>
    <row r="161" spans="1:14" ht="30" customHeight="1" x14ac:dyDescent="0.25">
      <c r="A161" s="8">
        <f>_xlfn.XLOOKUP(160,OfficialTeamList[Row],OfficialTeamList[Team Number],"ERROR",0)</f>
        <v>0</v>
      </c>
      <c r="B161" s="20" t="str">
        <f>_xlfn.XLOOKUP(RobotDesignResults[[#This Row],[Team Number]],OfficialTeamList[Team Number],OfficialTeamList[Team Name],"",0,)</f>
        <v/>
      </c>
      <c r="C161" s="12"/>
      <c r="D161" s="12"/>
      <c r="E161" s="12"/>
      <c r="F161" s="12"/>
      <c r="G161" s="12"/>
      <c r="H161" s="12"/>
      <c r="I161" s="12"/>
      <c r="J161" s="12"/>
      <c r="K161" s="12"/>
      <c r="L161" s="12"/>
      <c r="M161" s="8">
        <f>SUM(RobotDesignResults[[#This Row],[Identify 1]:[Communicate 2 (CV)]])</f>
        <v>0</v>
      </c>
      <c r="N161" s="21">
        <f>IF(RobotDesignResults[[#This Row],[Team Number]]&gt;0,MIN(_xlfn.RANK.EQ(RobotDesignResults[[#This Row],[Engineering Design Score]],RobotDesignResults[Engineering Design Score],0),NumberOfTeams),NumberOfTeams+1)</f>
        <v>9</v>
      </c>
    </row>
    <row r="162" spans="1:14" ht="30" customHeight="1" x14ac:dyDescent="0.25">
      <c r="A162" s="8">
        <f>_xlfn.XLOOKUP(161,OfficialTeamList[Row],OfficialTeamList[Team Number],"ERROR",0)</f>
        <v>0</v>
      </c>
      <c r="B162" s="20" t="str">
        <f>_xlfn.XLOOKUP(RobotDesignResults[[#This Row],[Team Number]],OfficialTeamList[Team Number],OfficialTeamList[Team Name],"",0,)</f>
        <v/>
      </c>
      <c r="C162" s="12"/>
      <c r="D162" s="12"/>
      <c r="E162" s="12"/>
      <c r="F162" s="12"/>
      <c r="G162" s="12"/>
      <c r="H162" s="12"/>
      <c r="I162" s="12"/>
      <c r="J162" s="12"/>
      <c r="K162" s="12"/>
      <c r="L162" s="12"/>
      <c r="M162" s="8">
        <f>SUM(RobotDesignResults[[#This Row],[Identify 1]:[Communicate 2 (CV)]])</f>
        <v>0</v>
      </c>
      <c r="N162" s="21">
        <f>IF(RobotDesignResults[[#This Row],[Team Number]]&gt;0,MIN(_xlfn.RANK.EQ(RobotDesignResults[[#This Row],[Engineering Design Score]],RobotDesignResults[Engineering Design Score],0),NumberOfTeams),NumberOfTeams+1)</f>
        <v>9</v>
      </c>
    </row>
    <row r="163" spans="1:14" ht="30" customHeight="1" x14ac:dyDescent="0.25">
      <c r="A163" s="8">
        <f>_xlfn.XLOOKUP(162,OfficialTeamList[Row],OfficialTeamList[Team Number],"ERROR",0)</f>
        <v>0</v>
      </c>
      <c r="B163" s="20" t="str">
        <f>_xlfn.XLOOKUP(RobotDesignResults[[#This Row],[Team Number]],OfficialTeamList[Team Number],OfficialTeamList[Team Name],"",0,)</f>
        <v/>
      </c>
      <c r="C163" s="12"/>
      <c r="D163" s="12"/>
      <c r="E163" s="12"/>
      <c r="F163" s="12"/>
      <c r="G163" s="12"/>
      <c r="H163" s="12"/>
      <c r="I163" s="12"/>
      <c r="J163" s="12"/>
      <c r="K163" s="12"/>
      <c r="L163" s="12"/>
      <c r="M163" s="8">
        <f>SUM(RobotDesignResults[[#This Row],[Identify 1]:[Communicate 2 (CV)]])</f>
        <v>0</v>
      </c>
      <c r="N163" s="21">
        <f>IF(RobotDesignResults[[#This Row],[Team Number]]&gt;0,MIN(_xlfn.RANK.EQ(RobotDesignResults[[#This Row],[Engineering Design Score]],RobotDesignResults[Engineering Design Score],0),NumberOfTeams),NumberOfTeams+1)</f>
        <v>9</v>
      </c>
    </row>
    <row r="164" spans="1:14" ht="30" customHeight="1" x14ac:dyDescent="0.25">
      <c r="A164" s="8">
        <f>_xlfn.XLOOKUP(163,OfficialTeamList[Row],OfficialTeamList[Team Number],"ERROR",0)</f>
        <v>0</v>
      </c>
      <c r="B164" s="20" t="str">
        <f>_xlfn.XLOOKUP(RobotDesignResults[[#This Row],[Team Number]],OfficialTeamList[Team Number],OfficialTeamList[Team Name],"",0,)</f>
        <v/>
      </c>
      <c r="C164" s="12"/>
      <c r="D164" s="12"/>
      <c r="E164" s="12"/>
      <c r="F164" s="12"/>
      <c r="G164" s="12"/>
      <c r="H164" s="12"/>
      <c r="I164" s="12"/>
      <c r="J164" s="12"/>
      <c r="K164" s="12"/>
      <c r="L164" s="12"/>
      <c r="M164" s="8">
        <f>SUM(RobotDesignResults[[#This Row],[Identify 1]:[Communicate 2 (CV)]])</f>
        <v>0</v>
      </c>
      <c r="N164" s="21">
        <f>IF(RobotDesignResults[[#This Row],[Team Number]]&gt;0,MIN(_xlfn.RANK.EQ(RobotDesignResults[[#This Row],[Engineering Design Score]],RobotDesignResults[Engineering Design Score],0),NumberOfTeams),NumberOfTeams+1)</f>
        <v>9</v>
      </c>
    </row>
    <row r="165" spans="1:14" ht="30" customHeight="1" x14ac:dyDescent="0.25">
      <c r="A165" s="8">
        <f>_xlfn.XLOOKUP(164,OfficialTeamList[Row],OfficialTeamList[Team Number],"ERROR",0)</f>
        <v>0</v>
      </c>
      <c r="B165" s="20" t="str">
        <f>_xlfn.XLOOKUP(RobotDesignResults[[#This Row],[Team Number]],OfficialTeamList[Team Number],OfficialTeamList[Team Name],"",0,)</f>
        <v/>
      </c>
      <c r="C165" s="12"/>
      <c r="D165" s="12"/>
      <c r="E165" s="12"/>
      <c r="F165" s="12"/>
      <c r="G165" s="12"/>
      <c r="H165" s="12"/>
      <c r="I165" s="12"/>
      <c r="J165" s="12"/>
      <c r="K165" s="12"/>
      <c r="L165" s="12"/>
      <c r="M165" s="8">
        <f>SUM(RobotDesignResults[[#This Row],[Identify 1]:[Communicate 2 (CV)]])</f>
        <v>0</v>
      </c>
      <c r="N165" s="21">
        <f>IF(RobotDesignResults[[#This Row],[Team Number]]&gt;0,MIN(_xlfn.RANK.EQ(RobotDesignResults[[#This Row],[Engineering Design Score]],RobotDesignResults[Engineering Design Score],0),NumberOfTeams),NumberOfTeams+1)</f>
        <v>9</v>
      </c>
    </row>
    <row r="166" spans="1:14" ht="30" customHeight="1" x14ac:dyDescent="0.25">
      <c r="A166" s="8">
        <f>_xlfn.XLOOKUP(165,OfficialTeamList[Row],OfficialTeamList[Team Number],"ERROR",0)</f>
        <v>0</v>
      </c>
      <c r="B166" s="20" t="str">
        <f>_xlfn.XLOOKUP(RobotDesignResults[[#This Row],[Team Number]],OfficialTeamList[Team Number],OfficialTeamList[Team Name],"",0,)</f>
        <v/>
      </c>
      <c r="C166" s="12"/>
      <c r="D166" s="12"/>
      <c r="E166" s="12"/>
      <c r="F166" s="12"/>
      <c r="G166" s="12"/>
      <c r="H166" s="12"/>
      <c r="I166" s="12"/>
      <c r="J166" s="12"/>
      <c r="K166" s="12"/>
      <c r="L166" s="12"/>
      <c r="M166" s="8">
        <f>SUM(RobotDesignResults[[#This Row],[Identify 1]:[Communicate 2 (CV)]])</f>
        <v>0</v>
      </c>
      <c r="N166" s="21">
        <f>IF(RobotDesignResults[[#This Row],[Team Number]]&gt;0,MIN(_xlfn.RANK.EQ(RobotDesignResults[[#This Row],[Engineering Design Score]],RobotDesignResults[Engineering Design Score],0),NumberOfTeams),NumberOfTeams+1)</f>
        <v>9</v>
      </c>
    </row>
    <row r="167" spans="1:14" ht="30" customHeight="1" x14ac:dyDescent="0.25">
      <c r="A167" s="8">
        <f>_xlfn.XLOOKUP(166,OfficialTeamList[Row],OfficialTeamList[Team Number],"ERROR",0)</f>
        <v>0</v>
      </c>
      <c r="B167" s="20" t="str">
        <f>_xlfn.XLOOKUP(RobotDesignResults[[#This Row],[Team Number]],OfficialTeamList[Team Number],OfficialTeamList[Team Name],"",0,)</f>
        <v/>
      </c>
      <c r="C167" s="12"/>
      <c r="D167" s="12"/>
      <c r="E167" s="12"/>
      <c r="F167" s="12"/>
      <c r="G167" s="12"/>
      <c r="H167" s="12"/>
      <c r="I167" s="12"/>
      <c r="J167" s="12"/>
      <c r="K167" s="12"/>
      <c r="L167" s="12"/>
      <c r="M167" s="8">
        <f>SUM(RobotDesignResults[[#This Row],[Identify 1]:[Communicate 2 (CV)]])</f>
        <v>0</v>
      </c>
      <c r="N167" s="21">
        <f>IF(RobotDesignResults[[#This Row],[Team Number]]&gt;0,MIN(_xlfn.RANK.EQ(RobotDesignResults[[#This Row],[Engineering Design Score]],RobotDesignResults[Engineering Design Score],0),NumberOfTeams),NumberOfTeams+1)</f>
        <v>9</v>
      </c>
    </row>
    <row r="168" spans="1:14" ht="30" customHeight="1" x14ac:dyDescent="0.25">
      <c r="A168" s="8">
        <f>_xlfn.XLOOKUP(167,OfficialTeamList[Row],OfficialTeamList[Team Number],"ERROR",0)</f>
        <v>0</v>
      </c>
      <c r="B168" s="20" t="str">
        <f>_xlfn.XLOOKUP(RobotDesignResults[[#This Row],[Team Number]],OfficialTeamList[Team Number],OfficialTeamList[Team Name],"",0,)</f>
        <v/>
      </c>
      <c r="C168" s="12"/>
      <c r="D168" s="12"/>
      <c r="E168" s="12"/>
      <c r="F168" s="12"/>
      <c r="G168" s="12"/>
      <c r="H168" s="12"/>
      <c r="I168" s="12"/>
      <c r="J168" s="12"/>
      <c r="K168" s="12"/>
      <c r="L168" s="12"/>
      <c r="M168" s="8">
        <f>SUM(RobotDesignResults[[#This Row],[Identify 1]:[Communicate 2 (CV)]])</f>
        <v>0</v>
      </c>
      <c r="N168" s="21">
        <f>IF(RobotDesignResults[[#This Row],[Team Number]]&gt;0,MIN(_xlfn.RANK.EQ(RobotDesignResults[[#This Row],[Engineering Design Score]],RobotDesignResults[Engineering Design Score],0),NumberOfTeams),NumberOfTeams+1)</f>
        <v>9</v>
      </c>
    </row>
    <row r="169" spans="1:14" ht="30" customHeight="1" x14ac:dyDescent="0.25">
      <c r="A169" s="8">
        <f>_xlfn.XLOOKUP(168,OfficialTeamList[Row],OfficialTeamList[Team Number],"ERROR",0)</f>
        <v>0</v>
      </c>
      <c r="B169" s="20" t="str">
        <f>_xlfn.XLOOKUP(RobotDesignResults[[#This Row],[Team Number]],OfficialTeamList[Team Number],OfficialTeamList[Team Name],"",0,)</f>
        <v/>
      </c>
      <c r="C169" s="12"/>
      <c r="D169" s="12"/>
      <c r="E169" s="12"/>
      <c r="F169" s="12"/>
      <c r="G169" s="12"/>
      <c r="H169" s="12"/>
      <c r="I169" s="12"/>
      <c r="J169" s="12"/>
      <c r="K169" s="12"/>
      <c r="L169" s="12"/>
      <c r="M169" s="8">
        <f>SUM(RobotDesignResults[[#This Row],[Identify 1]:[Communicate 2 (CV)]])</f>
        <v>0</v>
      </c>
      <c r="N169" s="21">
        <f>IF(RobotDesignResults[[#This Row],[Team Number]]&gt;0,MIN(_xlfn.RANK.EQ(RobotDesignResults[[#This Row],[Engineering Design Score]],RobotDesignResults[Engineering Design Score],0),NumberOfTeams),NumberOfTeams+1)</f>
        <v>9</v>
      </c>
    </row>
    <row r="170" spans="1:14" ht="30" customHeight="1" x14ac:dyDescent="0.25">
      <c r="A170" s="8">
        <f>_xlfn.XLOOKUP(169,OfficialTeamList[Row],OfficialTeamList[Team Number],"ERROR",0)</f>
        <v>0</v>
      </c>
      <c r="B170" s="20" t="str">
        <f>_xlfn.XLOOKUP(RobotDesignResults[[#This Row],[Team Number]],OfficialTeamList[Team Number],OfficialTeamList[Team Name],"",0,)</f>
        <v/>
      </c>
      <c r="C170" s="12"/>
      <c r="D170" s="12"/>
      <c r="E170" s="12"/>
      <c r="F170" s="12"/>
      <c r="G170" s="12"/>
      <c r="H170" s="12"/>
      <c r="I170" s="12"/>
      <c r="J170" s="12"/>
      <c r="K170" s="12"/>
      <c r="L170" s="12"/>
      <c r="M170" s="8">
        <f>SUM(RobotDesignResults[[#This Row],[Identify 1]:[Communicate 2 (CV)]])</f>
        <v>0</v>
      </c>
      <c r="N170" s="21">
        <f>IF(RobotDesignResults[[#This Row],[Team Number]]&gt;0,MIN(_xlfn.RANK.EQ(RobotDesignResults[[#This Row],[Engineering Design Score]],RobotDesignResults[Engineering Design Score],0),NumberOfTeams),NumberOfTeams+1)</f>
        <v>9</v>
      </c>
    </row>
    <row r="171" spans="1:14" ht="30" customHeight="1" x14ac:dyDescent="0.25">
      <c r="A171" s="8">
        <f>_xlfn.XLOOKUP(170,OfficialTeamList[Row],OfficialTeamList[Team Number],"ERROR",0)</f>
        <v>0</v>
      </c>
      <c r="B171" s="20" t="str">
        <f>_xlfn.XLOOKUP(RobotDesignResults[[#This Row],[Team Number]],OfficialTeamList[Team Number],OfficialTeamList[Team Name],"",0,)</f>
        <v/>
      </c>
      <c r="C171" s="12"/>
      <c r="D171" s="12"/>
      <c r="E171" s="12"/>
      <c r="F171" s="12"/>
      <c r="G171" s="12"/>
      <c r="H171" s="12"/>
      <c r="I171" s="12"/>
      <c r="J171" s="12"/>
      <c r="K171" s="12"/>
      <c r="L171" s="12"/>
      <c r="M171" s="8">
        <f>SUM(RobotDesignResults[[#This Row],[Identify 1]:[Communicate 2 (CV)]])</f>
        <v>0</v>
      </c>
      <c r="N171" s="21">
        <f>IF(RobotDesignResults[[#This Row],[Team Number]]&gt;0,MIN(_xlfn.RANK.EQ(RobotDesignResults[[#This Row],[Engineering Design Score]],RobotDesignResults[Engineering Design Score],0),NumberOfTeams),NumberOfTeams+1)</f>
        <v>9</v>
      </c>
    </row>
    <row r="172" spans="1:14" ht="30" customHeight="1" x14ac:dyDescent="0.25">
      <c r="A172" s="8">
        <f>_xlfn.XLOOKUP(171,OfficialTeamList[Row],OfficialTeamList[Team Number],"ERROR",0)</f>
        <v>0</v>
      </c>
      <c r="B172" s="20" t="str">
        <f>_xlfn.XLOOKUP(RobotDesignResults[[#This Row],[Team Number]],OfficialTeamList[Team Number],OfficialTeamList[Team Name],"",0,)</f>
        <v/>
      </c>
      <c r="C172" s="12"/>
      <c r="D172" s="12"/>
      <c r="E172" s="12"/>
      <c r="F172" s="12"/>
      <c r="G172" s="12"/>
      <c r="H172" s="12"/>
      <c r="I172" s="12"/>
      <c r="J172" s="12"/>
      <c r="K172" s="12"/>
      <c r="L172" s="12"/>
      <c r="M172" s="8">
        <f>SUM(RobotDesignResults[[#This Row],[Identify 1]:[Communicate 2 (CV)]])</f>
        <v>0</v>
      </c>
      <c r="N172" s="21">
        <f>IF(RobotDesignResults[[#This Row],[Team Number]]&gt;0,MIN(_xlfn.RANK.EQ(RobotDesignResults[[#This Row],[Engineering Design Score]],RobotDesignResults[Engineering Design Score],0),NumberOfTeams),NumberOfTeams+1)</f>
        <v>9</v>
      </c>
    </row>
    <row r="173" spans="1:14" ht="30" customHeight="1" x14ac:dyDescent="0.25">
      <c r="A173" s="8">
        <f>_xlfn.XLOOKUP(172,OfficialTeamList[Row],OfficialTeamList[Team Number],"ERROR",0)</f>
        <v>0</v>
      </c>
      <c r="B173" s="20" t="str">
        <f>_xlfn.XLOOKUP(RobotDesignResults[[#This Row],[Team Number]],OfficialTeamList[Team Number],OfficialTeamList[Team Name],"",0,)</f>
        <v/>
      </c>
      <c r="C173" s="12"/>
      <c r="D173" s="12"/>
      <c r="E173" s="12"/>
      <c r="F173" s="12"/>
      <c r="G173" s="12"/>
      <c r="H173" s="12"/>
      <c r="I173" s="12"/>
      <c r="J173" s="12"/>
      <c r="K173" s="12"/>
      <c r="L173" s="12"/>
      <c r="M173" s="8">
        <f>SUM(RobotDesignResults[[#This Row],[Identify 1]:[Communicate 2 (CV)]])</f>
        <v>0</v>
      </c>
      <c r="N173" s="21">
        <f>IF(RobotDesignResults[[#This Row],[Team Number]]&gt;0,MIN(_xlfn.RANK.EQ(RobotDesignResults[[#This Row],[Engineering Design Score]],RobotDesignResults[Engineering Design Score],0),NumberOfTeams),NumberOfTeams+1)</f>
        <v>9</v>
      </c>
    </row>
    <row r="174" spans="1:14" ht="30" customHeight="1" x14ac:dyDescent="0.25">
      <c r="A174" s="8">
        <f>_xlfn.XLOOKUP(173,OfficialTeamList[Row],OfficialTeamList[Team Number],"ERROR",0)</f>
        <v>0</v>
      </c>
      <c r="B174" s="20" t="str">
        <f>_xlfn.XLOOKUP(RobotDesignResults[[#This Row],[Team Number]],OfficialTeamList[Team Number],OfficialTeamList[Team Name],"",0,)</f>
        <v/>
      </c>
      <c r="C174" s="12"/>
      <c r="D174" s="12"/>
      <c r="E174" s="12"/>
      <c r="F174" s="12"/>
      <c r="G174" s="12"/>
      <c r="H174" s="12"/>
      <c r="I174" s="12"/>
      <c r="J174" s="12"/>
      <c r="K174" s="12"/>
      <c r="L174" s="12"/>
      <c r="M174" s="8">
        <f>SUM(RobotDesignResults[[#This Row],[Identify 1]:[Communicate 2 (CV)]])</f>
        <v>0</v>
      </c>
      <c r="N174" s="21">
        <f>IF(RobotDesignResults[[#This Row],[Team Number]]&gt;0,MIN(_xlfn.RANK.EQ(RobotDesignResults[[#This Row],[Engineering Design Score]],RobotDesignResults[Engineering Design Score],0),NumberOfTeams),NumberOfTeams+1)</f>
        <v>9</v>
      </c>
    </row>
    <row r="175" spans="1:14" ht="30" customHeight="1" x14ac:dyDescent="0.25">
      <c r="A175" s="8">
        <f>_xlfn.XLOOKUP(174,OfficialTeamList[Row],OfficialTeamList[Team Number],"ERROR",0)</f>
        <v>0</v>
      </c>
      <c r="B175" s="20" t="str">
        <f>_xlfn.XLOOKUP(RobotDesignResults[[#This Row],[Team Number]],OfficialTeamList[Team Number],OfficialTeamList[Team Name],"",0,)</f>
        <v/>
      </c>
      <c r="C175" s="12"/>
      <c r="D175" s="12"/>
      <c r="E175" s="12"/>
      <c r="F175" s="12"/>
      <c r="G175" s="12"/>
      <c r="H175" s="12"/>
      <c r="I175" s="12"/>
      <c r="J175" s="12"/>
      <c r="K175" s="12"/>
      <c r="L175" s="12"/>
      <c r="M175" s="8">
        <f>SUM(RobotDesignResults[[#This Row],[Identify 1]:[Communicate 2 (CV)]])</f>
        <v>0</v>
      </c>
      <c r="N175" s="21">
        <f>IF(RobotDesignResults[[#This Row],[Team Number]]&gt;0,MIN(_xlfn.RANK.EQ(RobotDesignResults[[#This Row],[Engineering Design Score]],RobotDesignResults[Engineering Design Score],0),NumberOfTeams),NumberOfTeams+1)</f>
        <v>9</v>
      </c>
    </row>
    <row r="176" spans="1:14" ht="30" customHeight="1" x14ac:dyDescent="0.25">
      <c r="A176" s="8">
        <f>_xlfn.XLOOKUP(175,OfficialTeamList[Row],OfficialTeamList[Team Number],"ERROR",0)</f>
        <v>0</v>
      </c>
      <c r="B176" s="20" t="str">
        <f>_xlfn.XLOOKUP(RobotDesignResults[[#This Row],[Team Number]],OfficialTeamList[Team Number],OfficialTeamList[Team Name],"",0,)</f>
        <v/>
      </c>
      <c r="C176" s="12"/>
      <c r="D176" s="12"/>
      <c r="E176" s="12"/>
      <c r="F176" s="12"/>
      <c r="G176" s="12"/>
      <c r="H176" s="12"/>
      <c r="I176" s="12"/>
      <c r="J176" s="12"/>
      <c r="K176" s="12"/>
      <c r="L176" s="12"/>
      <c r="M176" s="8">
        <f>SUM(RobotDesignResults[[#This Row],[Identify 1]:[Communicate 2 (CV)]])</f>
        <v>0</v>
      </c>
      <c r="N176" s="21">
        <f>IF(RobotDesignResults[[#This Row],[Team Number]]&gt;0,MIN(_xlfn.RANK.EQ(RobotDesignResults[[#This Row],[Engineering Design Score]],RobotDesignResults[Engineering Design Score],0),NumberOfTeams),NumberOfTeams+1)</f>
        <v>9</v>
      </c>
    </row>
    <row r="177" spans="1:14" ht="30" customHeight="1" x14ac:dyDescent="0.25">
      <c r="A177" s="8">
        <f>_xlfn.XLOOKUP(176,OfficialTeamList[Row],OfficialTeamList[Team Number],"ERROR",0)</f>
        <v>0</v>
      </c>
      <c r="B177" s="20" t="str">
        <f>_xlfn.XLOOKUP(RobotDesignResults[[#This Row],[Team Number]],OfficialTeamList[Team Number],OfficialTeamList[Team Name],"",0,)</f>
        <v/>
      </c>
      <c r="C177" s="12"/>
      <c r="D177" s="12"/>
      <c r="E177" s="12"/>
      <c r="F177" s="12"/>
      <c r="G177" s="12"/>
      <c r="H177" s="12"/>
      <c r="I177" s="12"/>
      <c r="J177" s="12"/>
      <c r="K177" s="12"/>
      <c r="L177" s="12"/>
      <c r="M177" s="8">
        <f>SUM(RobotDesignResults[[#This Row],[Identify 1]:[Communicate 2 (CV)]])</f>
        <v>0</v>
      </c>
      <c r="N177" s="21">
        <f>IF(RobotDesignResults[[#This Row],[Team Number]]&gt;0,MIN(_xlfn.RANK.EQ(RobotDesignResults[[#This Row],[Engineering Design Score]],RobotDesignResults[Engineering Design Score],0),NumberOfTeams),NumberOfTeams+1)</f>
        <v>9</v>
      </c>
    </row>
    <row r="178" spans="1:14" ht="30" customHeight="1" x14ac:dyDescent="0.25">
      <c r="A178" s="8">
        <f>_xlfn.XLOOKUP(177,OfficialTeamList[Row],OfficialTeamList[Team Number],"ERROR",0)</f>
        <v>0</v>
      </c>
      <c r="B178" s="20" t="str">
        <f>_xlfn.XLOOKUP(RobotDesignResults[[#This Row],[Team Number]],OfficialTeamList[Team Number],OfficialTeamList[Team Name],"",0,)</f>
        <v/>
      </c>
      <c r="C178" s="12"/>
      <c r="D178" s="12"/>
      <c r="E178" s="12"/>
      <c r="F178" s="12"/>
      <c r="G178" s="12"/>
      <c r="H178" s="12"/>
      <c r="I178" s="12"/>
      <c r="J178" s="12"/>
      <c r="K178" s="12"/>
      <c r="L178" s="12"/>
      <c r="M178" s="8">
        <f>SUM(RobotDesignResults[[#This Row],[Identify 1]:[Communicate 2 (CV)]])</f>
        <v>0</v>
      </c>
      <c r="N178" s="21">
        <f>IF(RobotDesignResults[[#This Row],[Team Number]]&gt;0,MIN(_xlfn.RANK.EQ(RobotDesignResults[[#This Row],[Engineering Design Score]],RobotDesignResults[Engineering Design Score],0),NumberOfTeams),NumberOfTeams+1)</f>
        <v>9</v>
      </c>
    </row>
    <row r="179" spans="1:14" ht="30" customHeight="1" x14ac:dyDescent="0.25">
      <c r="A179" s="8">
        <f>_xlfn.XLOOKUP(178,OfficialTeamList[Row],OfficialTeamList[Team Number],"ERROR",0)</f>
        <v>0</v>
      </c>
      <c r="B179" s="20" t="str">
        <f>_xlfn.XLOOKUP(RobotDesignResults[[#This Row],[Team Number]],OfficialTeamList[Team Number],OfficialTeamList[Team Name],"",0,)</f>
        <v/>
      </c>
      <c r="C179" s="12"/>
      <c r="D179" s="12"/>
      <c r="E179" s="12"/>
      <c r="F179" s="12"/>
      <c r="G179" s="12"/>
      <c r="H179" s="12"/>
      <c r="I179" s="12"/>
      <c r="J179" s="12"/>
      <c r="K179" s="12"/>
      <c r="L179" s="12"/>
      <c r="M179" s="8">
        <f>SUM(RobotDesignResults[[#This Row],[Identify 1]:[Communicate 2 (CV)]])</f>
        <v>0</v>
      </c>
      <c r="N179" s="21">
        <f>IF(RobotDesignResults[[#This Row],[Team Number]]&gt;0,MIN(_xlfn.RANK.EQ(RobotDesignResults[[#This Row],[Engineering Design Score]],RobotDesignResults[Engineering Design Score],0),NumberOfTeams),NumberOfTeams+1)</f>
        <v>9</v>
      </c>
    </row>
    <row r="180" spans="1:14" ht="30" customHeight="1" x14ac:dyDescent="0.25">
      <c r="A180" s="8">
        <f>_xlfn.XLOOKUP(179,OfficialTeamList[Row],OfficialTeamList[Team Number],"ERROR",0)</f>
        <v>0</v>
      </c>
      <c r="B180" s="20" t="str">
        <f>_xlfn.XLOOKUP(RobotDesignResults[[#This Row],[Team Number]],OfficialTeamList[Team Number],OfficialTeamList[Team Name],"",0,)</f>
        <v/>
      </c>
      <c r="C180" s="12"/>
      <c r="D180" s="12"/>
      <c r="E180" s="12"/>
      <c r="F180" s="12"/>
      <c r="G180" s="12"/>
      <c r="H180" s="12"/>
      <c r="I180" s="12"/>
      <c r="J180" s="12"/>
      <c r="K180" s="12"/>
      <c r="L180" s="12"/>
      <c r="M180" s="8">
        <f>SUM(RobotDesignResults[[#This Row],[Identify 1]:[Communicate 2 (CV)]])</f>
        <v>0</v>
      </c>
      <c r="N180" s="21">
        <f>IF(RobotDesignResults[[#This Row],[Team Number]]&gt;0,MIN(_xlfn.RANK.EQ(RobotDesignResults[[#This Row],[Engineering Design Score]],RobotDesignResults[Engineering Design Score],0),NumberOfTeams),NumberOfTeams+1)</f>
        <v>9</v>
      </c>
    </row>
    <row r="181" spans="1:14" ht="30" customHeight="1" x14ac:dyDescent="0.25">
      <c r="A181" s="8">
        <f>_xlfn.XLOOKUP(180,OfficialTeamList[Row],OfficialTeamList[Team Number],"ERROR",0)</f>
        <v>0</v>
      </c>
      <c r="B181" s="20" t="str">
        <f>_xlfn.XLOOKUP(RobotDesignResults[[#This Row],[Team Number]],OfficialTeamList[Team Number],OfficialTeamList[Team Name],"",0,)</f>
        <v/>
      </c>
      <c r="C181" s="12"/>
      <c r="D181" s="12"/>
      <c r="E181" s="12"/>
      <c r="F181" s="12"/>
      <c r="G181" s="12"/>
      <c r="H181" s="12"/>
      <c r="I181" s="12"/>
      <c r="J181" s="12"/>
      <c r="K181" s="12"/>
      <c r="L181" s="12"/>
      <c r="M181" s="8">
        <f>SUM(RobotDesignResults[[#This Row],[Identify 1]:[Communicate 2 (CV)]])</f>
        <v>0</v>
      </c>
      <c r="N181" s="21">
        <f>IF(RobotDesignResults[[#This Row],[Team Number]]&gt;0,MIN(_xlfn.RANK.EQ(RobotDesignResults[[#This Row],[Engineering Design Score]],RobotDesignResults[Engineering Design Score],0),NumberOfTeams),NumberOfTeams+1)</f>
        <v>9</v>
      </c>
    </row>
    <row r="182" spans="1:14" ht="30" customHeight="1" x14ac:dyDescent="0.25">
      <c r="A182" s="8">
        <f>_xlfn.XLOOKUP(181,OfficialTeamList[Row],OfficialTeamList[Team Number],"ERROR",0)</f>
        <v>0</v>
      </c>
      <c r="B182" s="20" t="str">
        <f>_xlfn.XLOOKUP(RobotDesignResults[[#This Row],[Team Number]],OfficialTeamList[Team Number],OfficialTeamList[Team Name],"",0,)</f>
        <v/>
      </c>
      <c r="C182" s="12"/>
      <c r="D182" s="12"/>
      <c r="E182" s="12"/>
      <c r="F182" s="12"/>
      <c r="G182" s="12"/>
      <c r="H182" s="12"/>
      <c r="I182" s="12"/>
      <c r="J182" s="12"/>
      <c r="K182" s="12"/>
      <c r="L182" s="12"/>
      <c r="M182" s="8">
        <f>SUM(RobotDesignResults[[#This Row],[Identify 1]:[Communicate 2 (CV)]])</f>
        <v>0</v>
      </c>
      <c r="N182" s="21">
        <f>IF(RobotDesignResults[[#This Row],[Team Number]]&gt;0,MIN(_xlfn.RANK.EQ(RobotDesignResults[[#This Row],[Engineering Design Score]],RobotDesignResults[Engineering Design Score],0),NumberOfTeams),NumberOfTeams+1)</f>
        <v>9</v>
      </c>
    </row>
    <row r="183" spans="1:14" ht="30" customHeight="1" x14ac:dyDescent="0.25">
      <c r="A183" s="8">
        <f>_xlfn.XLOOKUP(182,OfficialTeamList[Row],OfficialTeamList[Team Number],"ERROR",0)</f>
        <v>0</v>
      </c>
      <c r="B183" s="20" t="str">
        <f>_xlfn.XLOOKUP(RobotDesignResults[[#This Row],[Team Number]],OfficialTeamList[Team Number],OfficialTeamList[Team Name],"",0,)</f>
        <v/>
      </c>
      <c r="C183" s="12"/>
      <c r="D183" s="12"/>
      <c r="E183" s="12"/>
      <c r="F183" s="12"/>
      <c r="G183" s="12"/>
      <c r="H183" s="12"/>
      <c r="I183" s="12"/>
      <c r="J183" s="12"/>
      <c r="K183" s="12"/>
      <c r="L183" s="12"/>
      <c r="M183" s="8">
        <f>SUM(RobotDesignResults[[#This Row],[Identify 1]:[Communicate 2 (CV)]])</f>
        <v>0</v>
      </c>
      <c r="N183" s="21">
        <f>IF(RobotDesignResults[[#This Row],[Team Number]]&gt;0,MIN(_xlfn.RANK.EQ(RobotDesignResults[[#This Row],[Engineering Design Score]],RobotDesignResults[Engineering Design Score],0),NumberOfTeams),NumberOfTeams+1)</f>
        <v>9</v>
      </c>
    </row>
    <row r="184" spans="1:14" ht="30" customHeight="1" x14ac:dyDescent="0.25">
      <c r="A184" s="8">
        <f>_xlfn.XLOOKUP(183,OfficialTeamList[Row],OfficialTeamList[Team Number],"ERROR",0)</f>
        <v>0</v>
      </c>
      <c r="B184" s="20" t="str">
        <f>_xlfn.XLOOKUP(RobotDesignResults[[#This Row],[Team Number]],OfficialTeamList[Team Number],OfficialTeamList[Team Name],"",0,)</f>
        <v/>
      </c>
      <c r="C184" s="12"/>
      <c r="D184" s="12"/>
      <c r="E184" s="12"/>
      <c r="F184" s="12"/>
      <c r="G184" s="12"/>
      <c r="H184" s="12"/>
      <c r="I184" s="12"/>
      <c r="J184" s="12"/>
      <c r="K184" s="12"/>
      <c r="L184" s="12"/>
      <c r="M184" s="8">
        <f>SUM(RobotDesignResults[[#This Row],[Identify 1]:[Communicate 2 (CV)]])</f>
        <v>0</v>
      </c>
      <c r="N184" s="21">
        <f>IF(RobotDesignResults[[#This Row],[Team Number]]&gt;0,MIN(_xlfn.RANK.EQ(RobotDesignResults[[#This Row],[Engineering Design Score]],RobotDesignResults[Engineering Design Score],0),NumberOfTeams),NumberOfTeams+1)</f>
        <v>9</v>
      </c>
    </row>
    <row r="185" spans="1:14" ht="30" customHeight="1" x14ac:dyDescent="0.25">
      <c r="A185" s="8">
        <f>_xlfn.XLOOKUP(184,OfficialTeamList[Row],OfficialTeamList[Team Number],"ERROR",0)</f>
        <v>0</v>
      </c>
      <c r="B185" s="20" t="str">
        <f>_xlfn.XLOOKUP(RobotDesignResults[[#This Row],[Team Number]],OfficialTeamList[Team Number],OfficialTeamList[Team Name],"",0,)</f>
        <v/>
      </c>
      <c r="C185" s="12"/>
      <c r="D185" s="12"/>
      <c r="E185" s="12"/>
      <c r="F185" s="12"/>
      <c r="G185" s="12"/>
      <c r="H185" s="12"/>
      <c r="I185" s="12"/>
      <c r="J185" s="12"/>
      <c r="K185" s="12"/>
      <c r="L185" s="12"/>
      <c r="M185" s="8">
        <f>SUM(RobotDesignResults[[#This Row],[Identify 1]:[Communicate 2 (CV)]])</f>
        <v>0</v>
      </c>
      <c r="N185" s="21">
        <f>IF(RobotDesignResults[[#This Row],[Team Number]]&gt;0,MIN(_xlfn.RANK.EQ(RobotDesignResults[[#This Row],[Engineering Design Score]],RobotDesignResults[Engineering Design Score],0),NumberOfTeams),NumberOfTeams+1)</f>
        <v>9</v>
      </c>
    </row>
    <row r="186" spans="1:14" ht="30" customHeight="1" x14ac:dyDescent="0.25">
      <c r="A186" s="8">
        <f>_xlfn.XLOOKUP(185,OfficialTeamList[Row],OfficialTeamList[Team Number],"ERROR",0)</f>
        <v>0</v>
      </c>
      <c r="B186" s="20" t="str">
        <f>_xlfn.XLOOKUP(RobotDesignResults[[#This Row],[Team Number]],OfficialTeamList[Team Number],OfficialTeamList[Team Name],"",0,)</f>
        <v/>
      </c>
      <c r="C186" s="12"/>
      <c r="D186" s="12"/>
      <c r="E186" s="12"/>
      <c r="F186" s="12"/>
      <c r="G186" s="12"/>
      <c r="H186" s="12"/>
      <c r="I186" s="12"/>
      <c r="J186" s="12"/>
      <c r="K186" s="12"/>
      <c r="L186" s="12"/>
      <c r="M186" s="8">
        <f>SUM(RobotDesignResults[[#This Row],[Identify 1]:[Communicate 2 (CV)]])</f>
        <v>0</v>
      </c>
      <c r="N186" s="21">
        <f>IF(RobotDesignResults[[#This Row],[Team Number]]&gt;0,MIN(_xlfn.RANK.EQ(RobotDesignResults[[#This Row],[Engineering Design Score]],RobotDesignResults[Engineering Design Score],0),NumberOfTeams),NumberOfTeams+1)</f>
        <v>9</v>
      </c>
    </row>
    <row r="187" spans="1:14" ht="30" customHeight="1" x14ac:dyDescent="0.25">
      <c r="A187" s="8">
        <f>_xlfn.XLOOKUP(186,OfficialTeamList[Row],OfficialTeamList[Team Number],"ERROR",0)</f>
        <v>0</v>
      </c>
      <c r="B187" s="20" t="str">
        <f>_xlfn.XLOOKUP(RobotDesignResults[[#This Row],[Team Number]],OfficialTeamList[Team Number],OfficialTeamList[Team Name],"",0,)</f>
        <v/>
      </c>
      <c r="C187" s="12"/>
      <c r="D187" s="12"/>
      <c r="E187" s="12"/>
      <c r="F187" s="12"/>
      <c r="G187" s="12"/>
      <c r="H187" s="12"/>
      <c r="I187" s="12"/>
      <c r="J187" s="12"/>
      <c r="K187" s="12"/>
      <c r="L187" s="12"/>
      <c r="M187" s="8">
        <f>SUM(RobotDesignResults[[#This Row],[Identify 1]:[Communicate 2 (CV)]])</f>
        <v>0</v>
      </c>
      <c r="N187" s="21">
        <f>IF(RobotDesignResults[[#This Row],[Team Number]]&gt;0,MIN(_xlfn.RANK.EQ(RobotDesignResults[[#This Row],[Engineering Design Score]],RobotDesignResults[Engineering Design Score],0),NumberOfTeams),NumberOfTeams+1)</f>
        <v>9</v>
      </c>
    </row>
    <row r="188" spans="1:14" ht="30" customHeight="1" x14ac:dyDescent="0.25">
      <c r="A188" s="8">
        <f>_xlfn.XLOOKUP(187,OfficialTeamList[Row],OfficialTeamList[Team Number],"ERROR",0)</f>
        <v>0</v>
      </c>
      <c r="B188" s="20" t="str">
        <f>_xlfn.XLOOKUP(RobotDesignResults[[#This Row],[Team Number]],OfficialTeamList[Team Number],OfficialTeamList[Team Name],"",0,)</f>
        <v/>
      </c>
      <c r="C188" s="12"/>
      <c r="D188" s="12"/>
      <c r="E188" s="12"/>
      <c r="F188" s="12"/>
      <c r="G188" s="12"/>
      <c r="H188" s="12"/>
      <c r="I188" s="12"/>
      <c r="J188" s="12"/>
      <c r="K188" s="12"/>
      <c r="L188" s="12"/>
      <c r="M188" s="8">
        <f>SUM(RobotDesignResults[[#This Row],[Identify 1]:[Communicate 2 (CV)]])</f>
        <v>0</v>
      </c>
      <c r="N188" s="21">
        <f>IF(RobotDesignResults[[#This Row],[Team Number]]&gt;0,MIN(_xlfn.RANK.EQ(RobotDesignResults[[#This Row],[Engineering Design Score]],RobotDesignResults[Engineering Design Score],0),NumberOfTeams),NumberOfTeams+1)</f>
        <v>9</v>
      </c>
    </row>
    <row r="189" spans="1:14" ht="30" customHeight="1" x14ac:dyDescent="0.25">
      <c r="A189" s="8">
        <f>_xlfn.XLOOKUP(188,OfficialTeamList[Row],OfficialTeamList[Team Number],"ERROR",0)</f>
        <v>0</v>
      </c>
      <c r="B189" s="20" t="str">
        <f>_xlfn.XLOOKUP(RobotDesignResults[[#This Row],[Team Number]],OfficialTeamList[Team Number],OfficialTeamList[Team Name],"",0,)</f>
        <v/>
      </c>
      <c r="C189" s="12"/>
      <c r="D189" s="12"/>
      <c r="E189" s="12"/>
      <c r="F189" s="12"/>
      <c r="G189" s="12"/>
      <c r="H189" s="12"/>
      <c r="I189" s="12"/>
      <c r="J189" s="12"/>
      <c r="K189" s="12"/>
      <c r="L189" s="12"/>
      <c r="M189" s="8">
        <f>SUM(RobotDesignResults[[#This Row],[Identify 1]:[Communicate 2 (CV)]])</f>
        <v>0</v>
      </c>
      <c r="N189" s="21">
        <f>IF(RobotDesignResults[[#This Row],[Team Number]]&gt;0,MIN(_xlfn.RANK.EQ(RobotDesignResults[[#This Row],[Engineering Design Score]],RobotDesignResults[Engineering Design Score],0),NumberOfTeams),NumberOfTeams+1)</f>
        <v>9</v>
      </c>
    </row>
    <row r="190" spans="1:14" ht="30" customHeight="1" x14ac:dyDescent="0.25">
      <c r="A190" s="8">
        <f>_xlfn.XLOOKUP(189,OfficialTeamList[Row],OfficialTeamList[Team Number],"ERROR",0)</f>
        <v>0</v>
      </c>
      <c r="B190" s="20" t="str">
        <f>_xlfn.XLOOKUP(RobotDesignResults[[#This Row],[Team Number]],OfficialTeamList[Team Number],OfficialTeamList[Team Name],"",0,)</f>
        <v/>
      </c>
      <c r="C190" s="12"/>
      <c r="D190" s="12"/>
      <c r="E190" s="12"/>
      <c r="F190" s="12"/>
      <c r="G190" s="12"/>
      <c r="H190" s="12"/>
      <c r="I190" s="12"/>
      <c r="J190" s="12"/>
      <c r="K190" s="12"/>
      <c r="L190" s="12"/>
      <c r="M190" s="8">
        <f>SUM(RobotDesignResults[[#This Row],[Identify 1]:[Communicate 2 (CV)]])</f>
        <v>0</v>
      </c>
      <c r="N190" s="21">
        <f>IF(RobotDesignResults[[#This Row],[Team Number]]&gt;0,MIN(_xlfn.RANK.EQ(RobotDesignResults[[#This Row],[Engineering Design Score]],RobotDesignResults[Engineering Design Score],0),NumberOfTeams),NumberOfTeams+1)</f>
        <v>9</v>
      </c>
    </row>
    <row r="191" spans="1:14" ht="30" customHeight="1" x14ac:dyDescent="0.25">
      <c r="A191" s="8">
        <f>_xlfn.XLOOKUP(190,OfficialTeamList[Row],OfficialTeamList[Team Number],"ERROR",0)</f>
        <v>0</v>
      </c>
      <c r="B191" s="20" t="str">
        <f>_xlfn.XLOOKUP(RobotDesignResults[[#This Row],[Team Number]],OfficialTeamList[Team Number],OfficialTeamList[Team Name],"",0,)</f>
        <v/>
      </c>
      <c r="C191" s="12"/>
      <c r="D191" s="12"/>
      <c r="E191" s="12"/>
      <c r="F191" s="12"/>
      <c r="G191" s="12"/>
      <c r="H191" s="12"/>
      <c r="I191" s="12"/>
      <c r="J191" s="12"/>
      <c r="K191" s="12"/>
      <c r="L191" s="12"/>
      <c r="M191" s="8">
        <f>SUM(RobotDesignResults[[#This Row],[Identify 1]:[Communicate 2 (CV)]])</f>
        <v>0</v>
      </c>
      <c r="N191" s="21">
        <f>IF(RobotDesignResults[[#This Row],[Team Number]]&gt;0,MIN(_xlfn.RANK.EQ(RobotDesignResults[[#This Row],[Engineering Design Score]],RobotDesignResults[Engineering Design Score],0),NumberOfTeams),NumberOfTeams+1)</f>
        <v>9</v>
      </c>
    </row>
    <row r="192" spans="1:14" ht="30" customHeight="1" x14ac:dyDescent="0.25">
      <c r="A192" s="8">
        <f>_xlfn.XLOOKUP(191,OfficialTeamList[Row],OfficialTeamList[Team Number],"ERROR",0)</f>
        <v>0</v>
      </c>
      <c r="B192" s="20" t="str">
        <f>_xlfn.XLOOKUP(RobotDesignResults[[#This Row],[Team Number]],OfficialTeamList[Team Number],OfficialTeamList[Team Name],"",0,)</f>
        <v/>
      </c>
      <c r="C192" s="12"/>
      <c r="D192" s="12"/>
      <c r="E192" s="12"/>
      <c r="F192" s="12"/>
      <c r="G192" s="12"/>
      <c r="H192" s="12"/>
      <c r="I192" s="12"/>
      <c r="J192" s="12"/>
      <c r="K192" s="12"/>
      <c r="L192" s="12"/>
      <c r="M192" s="8">
        <f>SUM(RobotDesignResults[[#This Row],[Identify 1]:[Communicate 2 (CV)]])</f>
        <v>0</v>
      </c>
      <c r="N192" s="21">
        <f>IF(RobotDesignResults[[#This Row],[Team Number]]&gt;0,MIN(_xlfn.RANK.EQ(RobotDesignResults[[#This Row],[Engineering Design Score]],RobotDesignResults[Engineering Design Score],0),NumberOfTeams),NumberOfTeams+1)</f>
        <v>9</v>
      </c>
    </row>
    <row r="193" spans="1:14" ht="30" customHeight="1" x14ac:dyDescent="0.25">
      <c r="A193" s="8">
        <f>_xlfn.XLOOKUP(192,OfficialTeamList[Row],OfficialTeamList[Team Number],"ERROR",0)</f>
        <v>0</v>
      </c>
      <c r="B193" s="20" t="str">
        <f>_xlfn.XLOOKUP(RobotDesignResults[[#This Row],[Team Number]],OfficialTeamList[Team Number],OfficialTeamList[Team Name],"",0,)</f>
        <v/>
      </c>
      <c r="C193" s="12"/>
      <c r="D193" s="12"/>
      <c r="E193" s="12"/>
      <c r="F193" s="12"/>
      <c r="G193" s="12"/>
      <c r="H193" s="12"/>
      <c r="I193" s="12"/>
      <c r="J193" s="12"/>
      <c r="K193" s="12"/>
      <c r="L193" s="12"/>
      <c r="M193" s="8">
        <f>SUM(RobotDesignResults[[#This Row],[Identify 1]:[Communicate 2 (CV)]])</f>
        <v>0</v>
      </c>
      <c r="N193" s="21">
        <f>IF(RobotDesignResults[[#This Row],[Team Number]]&gt;0,MIN(_xlfn.RANK.EQ(RobotDesignResults[[#This Row],[Engineering Design Score]],RobotDesignResults[Engineering Design Score],0),NumberOfTeams),NumberOfTeams+1)</f>
        <v>9</v>
      </c>
    </row>
    <row r="194" spans="1:14" ht="30" customHeight="1" x14ac:dyDescent="0.25">
      <c r="A194" s="8">
        <f>_xlfn.XLOOKUP(193,OfficialTeamList[Row],OfficialTeamList[Team Number],"ERROR",0)</f>
        <v>0</v>
      </c>
      <c r="B194" s="20" t="str">
        <f>_xlfn.XLOOKUP(RobotDesignResults[[#This Row],[Team Number]],OfficialTeamList[Team Number],OfficialTeamList[Team Name],"",0,)</f>
        <v/>
      </c>
      <c r="C194" s="12"/>
      <c r="D194" s="12"/>
      <c r="E194" s="12"/>
      <c r="F194" s="12"/>
      <c r="G194" s="12"/>
      <c r="H194" s="12"/>
      <c r="I194" s="12"/>
      <c r="J194" s="12"/>
      <c r="K194" s="12"/>
      <c r="L194" s="12"/>
      <c r="M194" s="8">
        <f>SUM(RobotDesignResults[[#This Row],[Identify 1]:[Communicate 2 (CV)]])</f>
        <v>0</v>
      </c>
      <c r="N194" s="21">
        <f>IF(RobotDesignResults[[#This Row],[Team Number]]&gt;0,MIN(_xlfn.RANK.EQ(RobotDesignResults[[#This Row],[Engineering Design Score]],RobotDesignResults[Engineering Design Score],0),NumberOfTeams),NumberOfTeams+1)</f>
        <v>9</v>
      </c>
    </row>
    <row r="195" spans="1:14" ht="30" customHeight="1" x14ac:dyDescent="0.25">
      <c r="A195" s="8">
        <f>_xlfn.XLOOKUP(194,OfficialTeamList[Row],OfficialTeamList[Team Number],"ERROR",0)</f>
        <v>0</v>
      </c>
      <c r="B195" s="20" t="str">
        <f>_xlfn.XLOOKUP(RobotDesignResults[[#This Row],[Team Number]],OfficialTeamList[Team Number],OfficialTeamList[Team Name],"",0,)</f>
        <v/>
      </c>
      <c r="C195" s="12"/>
      <c r="D195" s="12"/>
      <c r="E195" s="12"/>
      <c r="F195" s="12"/>
      <c r="G195" s="12"/>
      <c r="H195" s="12"/>
      <c r="I195" s="12"/>
      <c r="J195" s="12"/>
      <c r="K195" s="12"/>
      <c r="L195" s="12"/>
      <c r="M195" s="8">
        <f>SUM(RobotDesignResults[[#This Row],[Identify 1]:[Communicate 2 (CV)]])</f>
        <v>0</v>
      </c>
      <c r="N195" s="21">
        <f>IF(RobotDesignResults[[#This Row],[Team Number]]&gt;0,MIN(_xlfn.RANK.EQ(RobotDesignResults[[#This Row],[Engineering Design Score]],RobotDesignResults[Engineering Design Score],0),NumberOfTeams),NumberOfTeams+1)</f>
        <v>9</v>
      </c>
    </row>
    <row r="196" spans="1:14" ht="30" customHeight="1" x14ac:dyDescent="0.25">
      <c r="A196" s="8">
        <f>_xlfn.XLOOKUP(195,OfficialTeamList[Row],OfficialTeamList[Team Number],"ERROR",0)</f>
        <v>0</v>
      </c>
      <c r="B196" s="20" t="str">
        <f>_xlfn.XLOOKUP(RobotDesignResults[[#This Row],[Team Number]],OfficialTeamList[Team Number],OfficialTeamList[Team Name],"",0,)</f>
        <v/>
      </c>
      <c r="C196" s="12"/>
      <c r="D196" s="12"/>
      <c r="E196" s="12"/>
      <c r="F196" s="12"/>
      <c r="G196" s="12"/>
      <c r="H196" s="12"/>
      <c r="I196" s="12"/>
      <c r="J196" s="12"/>
      <c r="K196" s="12"/>
      <c r="L196" s="12"/>
      <c r="M196" s="8">
        <f>SUM(RobotDesignResults[[#This Row],[Identify 1]:[Communicate 2 (CV)]])</f>
        <v>0</v>
      </c>
      <c r="N196" s="21">
        <f>IF(RobotDesignResults[[#This Row],[Team Number]]&gt;0,MIN(_xlfn.RANK.EQ(RobotDesignResults[[#This Row],[Engineering Design Score]],RobotDesignResults[Engineering Design Score],0),NumberOfTeams),NumberOfTeams+1)</f>
        <v>9</v>
      </c>
    </row>
    <row r="197" spans="1:14" ht="30" customHeight="1" x14ac:dyDescent="0.25">
      <c r="A197" s="8">
        <f>_xlfn.XLOOKUP(196,OfficialTeamList[Row],OfficialTeamList[Team Number],"ERROR",0)</f>
        <v>0</v>
      </c>
      <c r="B197" s="20" t="str">
        <f>_xlfn.XLOOKUP(RobotDesignResults[[#This Row],[Team Number]],OfficialTeamList[Team Number],OfficialTeamList[Team Name],"",0,)</f>
        <v/>
      </c>
      <c r="C197" s="12"/>
      <c r="D197" s="12"/>
      <c r="E197" s="12"/>
      <c r="F197" s="12"/>
      <c r="G197" s="12"/>
      <c r="H197" s="12"/>
      <c r="I197" s="12"/>
      <c r="J197" s="12"/>
      <c r="K197" s="12"/>
      <c r="L197" s="12"/>
      <c r="M197" s="8">
        <f>SUM(RobotDesignResults[[#This Row],[Identify 1]:[Communicate 2 (CV)]])</f>
        <v>0</v>
      </c>
      <c r="N197" s="21">
        <f>IF(RobotDesignResults[[#This Row],[Team Number]]&gt;0,MIN(_xlfn.RANK.EQ(RobotDesignResults[[#This Row],[Engineering Design Score]],RobotDesignResults[Engineering Design Score],0),NumberOfTeams),NumberOfTeams+1)</f>
        <v>9</v>
      </c>
    </row>
    <row r="198" spans="1:14" ht="30" customHeight="1" x14ac:dyDescent="0.25">
      <c r="A198" s="8">
        <f>_xlfn.XLOOKUP(197,OfficialTeamList[Row],OfficialTeamList[Team Number],"ERROR",0)</f>
        <v>0</v>
      </c>
      <c r="B198" s="20" t="str">
        <f>_xlfn.XLOOKUP(RobotDesignResults[[#This Row],[Team Number]],OfficialTeamList[Team Number],OfficialTeamList[Team Name],"",0,)</f>
        <v/>
      </c>
      <c r="C198" s="12"/>
      <c r="D198" s="12"/>
      <c r="E198" s="12"/>
      <c r="F198" s="12"/>
      <c r="G198" s="12"/>
      <c r="H198" s="12"/>
      <c r="I198" s="12"/>
      <c r="J198" s="12"/>
      <c r="K198" s="12"/>
      <c r="L198" s="12"/>
      <c r="M198" s="8">
        <f>SUM(RobotDesignResults[[#This Row],[Identify 1]:[Communicate 2 (CV)]])</f>
        <v>0</v>
      </c>
      <c r="N198" s="21">
        <f>IF(RobotDesignResults[[#This Row],[Team Number]]&gt;0,MIN(_xlfn.RANK.EQ(RobotDesignResults[[#This Row],[Engineering Design Score]],RobotDesignResults[Engineering Design Score],0),NumberOfTeams),NumberOfTeams+1)</f>
        <v>9</v>
      </c>
    </row>
    <row r="199" spans="1:14" ht="30" customHeight="1" x14ac:dyDescent="0.25">
      <c r="A199" s="8">
        <f>_xlfn.XLOOKUP(198,OfficialTeamList[Row],OfficialTeamList[Team Number],"ERROR",0)</f>
        <v>0</v>
      </c>
      <c r="B199" s="20" t="str">
        <f>_xlfn.XLOOKUP(RobotDesignResults[[#This Row],[Team Number]],OfficialTeamList[Team Number],OfficialTeamList[Team Name],"",0,)</f>
        <v/>
      </c>
      <c r="C199" s="12"/>
      <c r="D199" s="12"/>
      <c r="E199" s="12"/>
      <c r="F199" s="12"/>
      <c r="G199" s="12"/>
      <c r="H199" s="12"/>
      <c r="I199" s="12"/>
      <c r="J199" s="12"/>
      <c r="K199" s="12"/>
      <c r="L199" s="12"/>
      <c r="M199" s="8">
        <f>SUM(RobotDesignResults[[#This Row],[Identify 1]:[Communicate 2 (CV)]])</f>
        <v>0</v>
      </c>
      <c r="N199" s="21">
        <f>IF(RobotDesignResults[[#This Row],[Team Number]]&gt;0,MIN(_xlfn.RANK.EQ(RobotDesignResults[[#This Row],[Engineering Design Score]],RobotDesignResults[Engineering Design Score],0),NumberOfTeams),NumberOfTeams+1)</f>
        <v>9</v>
      </c>
    </row>
    <row r="200" spans="1:14" ht="30" customHeight="1" x14ac:dyDescent="0.25">
      <c r="A200" s="8">
        <f>_xlfn.XLOOKUP(199,OfficialTeamList[Row],OfficialTeamList[Team Number],"ERROR",0)</f>
        <v>0</v>
      </c>
      <c r="B200" s="20" t="str">
        <f>_xlfn.XLOOKUP(RobotDesignResults[[#This Row],[Team Number]],OfficialTeamList[Team Number],OfficialTeamList[Team Name],"",0,)</f>
        <v/>
      </c>
      <c r="C200" s="12"/>
      <c r="D200" s="12"/>
      <c r="E200" s="12"/>
      <c r="F200" s="12"/>
      <c r="G200" s="12"/>
      <c r="H200" s="12"/>
      <c r="I200" s="12"/>
      <c r="J200" s="12"/>
      <c r="K200" s="12"/>
      <c r="L200" s="12"/>
      <c r="M200" s="8">
        <f>SUM(RobotDesignResults[[#This Row],[Identify 1]:[Communicate 2 (CV)]])</f>
        <v>0</v>
      </c>
      <c r="N200" s="21">
        <f>IF(RobotDesignResults[[#This Row],[Team Number]]&gt;0,MIN(_xlfn.RANK.EQ(RobotDesignResults[[#This Row],[Engineering Design Score]],RobotDesignResults[Engineering Design Score],0),NumberOfTeams),NumberOfTeams+1)</f>
        <v>9</v>
      </c>
    </row>
    <row r="201" spans="1:14" ht="30" customHeight="1" x14ac:dyDescent="0.25">
      <c r="A201" s="8">
        <f>_xlfn.XLOOKUP(200,OfficialTeamList[Row],OfficialTeamList[Team Number],"ERROR",0)</f>
        <v>0</v>
      </c>
      <c r="B201" s="20" t="str">
        <f>_xlfn.XLOOKUP(RobotDesignResults[[#This Row],[Team Number]],OfficialTeamList[Team Number],OfficialTeamList[Team Name],"",0,)</f>
        <v/>
      </c>
      <c r="C201" s="12"/>
      <c r="D201" s="12"/>
      <c r="E201" s="12"/>
      <c r="F201" s="12"/>
      <c r="G201" s="12"/>
      <c r="H201" s="12"/>
      <c r="I201" s="12"/>
      <c r="J201" s="12"/>
      <c r="K201" s="12"/>
      <c r="L201" s="12"/>
      <c r="M201" s="8">
        <f>SUM(RobotDesignResults[[#This Row],[Identify 1]:[Communicate 2 (CV)]])</f>
        <v>0</v>
      </c>
      <c r="N201" s="21">
        <f>IF(RobotDesignResults[[#This Row],[Team Number]]&gt;0,MIN(_xlfn.RANK.EQ(RobotDesignResults[[#This Row],[Engineering Design Score]],RobotDesignResults[Engineering Design Score],0),NumberOfTeams),NumberOfTeams+1)</f>
        <v>9</v>
      </c>
    </row>
  </sheetData>
  <sheetProtection algorithmName="SHA-512" hashValue="o2XQbEHpZXXoQ57dKM/j356toAQ67LxVDTckOXx4evWQaOUZk83zztN51pNUhStsNLGct4aBVN/33AzjkHLWGg==" saltValue="hn1XcldxN9QH3fbUxoCoBQ==" spinCount="100000" sheet="1" objects="1" scenarios="1"/>
  <dataValidations count="1">
    <dataValidation type="whole" allowBlank="1" showErrorMessage="1" error="Only values between 1 and 4 are permitted." prompt="Only values between 1 and 4 are permitted. " sqref="C2:L201" xr:uid="{1E77B5DB-74CA-4DE9-92FB-5F94FF559134}">
      <formula1>1</formula1>
      <formula2>4</formula2>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61923-F82B-4AA8-BEF2-64F27C6D1BF2}">
  <sheetPr>
    <tabColor rgb="FFC00000"/>
  </sheetPr>
  <dimension ref="A1:J201"/>
  <sheetViews>
    <sheetView showGridLines="0" zoomScaleNormal="100" workbookViewId="0">
      <selection activeCell="J9" sqref="J9"/>
    </sheetView>
  </sheetViews>
  <sheetFormatPr defaultRowHeight="15" outlineLevelCol="1" x14ac:dyDescent="0.25"/>
  <cols>
    <col min="1" max="1" width="7.42578125" customWidth="1"/>
    <col min="2" max="2" width="23.42578125" customWidth="1"/>
    <col min="3" max="3" width="37.5703125" customWidth="1"/>
    <col min="4" max="6" width="7.42578125" customWidth="1"/>
    <col min="7" max="8" width="7.42578125" hidden="1" customWidth="1" outlineLevel="1"/>
    <col min="9" max="9" width="7.42578125" style="41" hidden="1" customWidth="1" outlineLevel="1"/>
    <col min="10" max="10" width="10.42578125" style="54" customWidth="1" collapsed="1"/>
  </cols>
  <sheetData>
    <row r="1" spans="1:10" ht="169.15" customHeight="1" x14ac:dyDescent="0.25">
      <c r="A1" s="72" t="s">
        <v>92</v>
      </c>
      <c r="B1" s="70" t="s">
        <v>12</v>
      </c>
      <c r="C1" s="71" t="s">
        <v>13</v>
      </c>
      <c r="D1" s="73" t="s">
        <v>107</v>
      </c>
      <c r="E1" s="73" t="s">
        <v>108</v>
      </c>
      <c r="F1" s="73" t="s">
        <v>109</v>
      </c>
      <c r="G1" s="73" t="s">
        <v>110</v>
      </c>
      <c r="H1" s="73" t="s">
        <v>111</v>
      </c>
      <c r="I1" s="73" t="s">
        <v>112</v>
      </c>
      <c r="J1" s="72" t="s">
        <v>106</v>
      </c>
    </row>
    <row r="2" spans="1:10" ht="30" customHeight="1" x14ac:dyDescent="0.25">
      <c r="A2">
        <f>IF(RobotGameScores[[#This Row],[Team Number]]&gt;0,MIN(_xlfn.RANK.EQ(RobotGameScores[[#This Row],[Match Score Average]],RobotGameScores[Match Score Average],0),NumberOfTeams),NumberOfTeams+1)</f>
        <v>2</v>
      </c>
      <c r="B2" s="8">
        <f>(_xlfn.XLOOKUP(1,OfficialTeamList[Row],OfficialTeamList[Team Number],"ERROR",0))+0</f>
        <v>1234</v>
      </c>
      <c r="C2" s="20" t="str">
        <f>_xlfn.XLOOKUP(RobotDesignResults[[#This Row],[Team Number]],OfficialTeamList[Team Number],OfficialTeamList[Team Name],"",0,)</f>
        <v>Team 1</v>
      </c>
      <c r="D2">
        <v>60</v>
      </c>
      <c r="E2">
        <v>44</v>
      </c>
      <c r="F2">
        <v>89</v>
      </c>
      <c r="G2" s="8"/>
      <c r="H2" s="8"/>
      <c r="I2" s="8"/>
      <c r="J2" s="53">
        <f>SUM(RobotGameScores[[#This Row],[Match 1 Score]:[Match 6 Score]])/NumberOfRounds</f>
        <v>64.333333333333329</v>
      </c>
    </row>
    <row r="3" spans="1:10" ht="30" customHeight="1" x14ac:dyDescent="0.25">
      <c r="A3">
        <f>IF(RobotGameScores[[#This Row],[Team Number]]&gt;0,MIN(_xlfn.RANK.EQ(RobotGameScores[[#This Row],[Match Score Average]],RobotGameScores[Match Score Average],0),NumberOfTeams),NumberOfTeams+1)</f>
        <v>5</v>
      </c>
      <c r="B3" s="8">
        <f>(_xlfn.XLOOKUP(2,OfficialTeamList[Row],OfficialTeamList[Team Number],"ERROR",0))+0</f>
        <v>2345</v>
      </c>
      <c r="C3" s="20" t="str">
        <f>_xlfn.XLOOKUP(RobotDesignResults[[#This Row],[Team Number]],OfficialTeamList[Team Number],OfficialTeamList[Team Name],"",0,)</f>
        <v>Team 2</v>
      </c>
      <c r="D3">
        <v>22</v>
      </c>
      <c r="E3">
        <v>45</v>
      </c>
      <c r="F3">
        <v>88</v>
      </c>
      <c r="G3" s="8"/>
      <c r="H3" s="8"/>
      <c r="I3" s="8"/>
      <c r="J3" s="53">
        <f>SUM(RobotGameScores[[#This Row],[Match 1 Score]:[Match 6 Score]])/NumberOfRounds</f>
        <v>51.666666666666664</v>
      </c>
    </row>
    <row r="4" spans="1:10" ht="30" customHeight="1" x14ac:dyDescent="0.25">
      <c r="A4">
        <f>IF(RobotGameScores[[#This Row],[Team Number]]&gt;0,MIN(_xlfn.RANK.EQ(RobotGameScores[[#This Row],[Match Score Average]],RobotGameScores[Match Score Average],0),NumberOfTeams),NumberOfTeams+1)</f>
        <v>7</v>
      </c>
      <c r="B4" s="8">
        <f>(_xlfn.XLOOKUP(3,OfficialTeamList[Row],OfficialTeamList[Team Number],"ERROR",0))+0</f>
        <v>3456</v>
      </c>
      <c r="C4" s="20" t="str">
        <f>_xlfn.XLOOKUP(RobotDesignResults[[#This Row],[Team Number]],OfficialTeamList[Team Number],OfficialTeamList[Team Name],"",0,)</f>
        <v>Team 3</v>
      </c>
      <c r="D4">
        <v>100</v>
      </c>
      <c r="E4">
        <v>12</v>
      </c>
      <c r="F4">
        <v>42</v>
      </c>
      <c r="G4" s="8"/>
      <c r="H4" s="8"/>
      <c r="I4" s="8"/>
      <c r="J4" s="53">
        <f>SUM(RobotGameScores[[#This Row],[Match 1 Score]:[Match 6 Score]])/NumberOfRounds</f>
        <v>51.333333333333336</v>
      </c>
    </row>
    <row r="5" spans="1:10" ht="30" customHeight="1" x14ac:dyDescent="0.25">
      <c r="A5">
        <f>IF(RobotGameScores[[#This Row],[Team Number]]&gt;0,MIN(_xlfn.RANK.EQ(RobotGameScores[[#This Row],[Match Score Average]],RobotGameScores[Match Score Average],0),NumberOfTeams),NumberOfTeams+1)</f>
        <v>1</v>
      </c>
      <c r="B5" s="8">
        <f>_xlfn.XLOOKUP(4,OfficialTeamList[Row],OfficialTeamList[Team Number],"ERROR",0)</f>
        <v>235</v>
      </c>
      <c r="C5" s="20" t="str">
        <f>_xlfn.XLOOKUP(RobotDesignResults[[#This Row],[Team Number]],OfficialTeamList[Team Number],OfficialTeamList[Team Name],"",0,)</f>
        <v>Team 4</v>
      </c>
      <c r="D5">
        <v>135</v>
      </c>
      <c r="E5">
        <v>154</v>
      </c>
      <c r="F5">
        <v>21</v>
      </c>
      <c r="G5" s="8"/>
      <c r="H5" s="8"/>
      <c r="I5" s="8"/>
      <c r="J5" s="53">
        <f>SUM(RobotGameScores[[#This Row],[Match 1 Score]:[Match 6 Score]])/NumberOfRounds</f>
        <v>103.33333333333333</v>
      </c>
    </row>
    <row r="6" spans="1:10" ht="30" customHeight="1" x14ac:dyDescent="0.25">
      <c r="A6">
        <f>IF(RobotGameScores[[#This Row],[Team Number]]&gt;0,MIN(_xlfn.RANK.EQ(RobotGameScores[[#This Row],[Match Score Average]],RobotGameScores[Match Score Average],0),NumberOfTeams),NumberOfTeams+1)</f>
        <v>3</v>
      </c>
      <c r="B6" s="8">
        <f>_xlfn.XLOOKUP(5,OfficialTeamList[Row],OfficialTeamList[Team Number],"ERROR",0)</f>
        <v>1232</v>
      </c>
      <c r="C6" s="20" t="str">
        <f>_xlfn.XLOOKUP(RobotDesignResults[[#This Row],[Team Number]],OfficialTeamList[Team Number],OfficialTeamList[Team Name],"",0,)</f>
        <v>Team 5</v>
      </c>
      <c r="D6">
        <v>55</v>
      </c>
      <c r="E6">
        <v>33</v>
      </c>
      <c r="F6">
        <v>85</v>
      </c>
      <c r="G6" s="8"/>
      <c r="H6" s="8"/>
      <c r="I6" s="8"/>
      <c r="J6" s="53">
        <f>SUM(RobotGameScores[[#This Row],[Match 1 Score]:[Match 6 Score]])/NumberOfRounds</f>
        <v>57.666666666666664</v>
      </c>
    </row>
    <row r="7" spans="1:10" ht="30" customHeight="1" x14ac:dyDescent="0.25">
      <c r="A7">
        <f>IF(RobotGameScores[[#This Row],[Team Number]]&gt;0,MIN(_xlfn.RANK.EQ(RobotGameScores[[#This Row],[Match Score Average]],RobotGameScores[Match Score Average],0),NumberOfTeams),NumberOfTeams+1)</f>
        <v>3</v>
      </c>
      <c r="B7" s="8">
        <f>_xlfn.XLOOKUP(6,OfficialTeamList[Row],OfficialTeamList[Team Number],"ERROR",0)</f>
        <v>6262</v>
      </c>
      <c r="C7" s="20" t="str">
        <f>_xlfn.XLOOKUP(RobotDesignResults[[#This Row],[Team Number]],OfficialTeamList[Team Number],OfficialTeamList[Team Name],"",0,)</f>
        <v>Team 6</v>
      </c>
      <c r="D7">
        <v>95</v>
      </c>
      <c r="E7">
        <v>33</v>
      </c>
      <c r="F7">
        <v>45</v>
      </c>
      <c r="G7" s="8"/>
      <c r="H7" s="8"/>
      <c r="I7" s="8"/>
      <c r="J7" s="53">
        <f>SUM(RobotGameScores[[#This Row],[Match 1 Score]:[Match 6 Score]])/NumberOfRounds</f>
        <v>57.666666666666664</v>
      </c>
    </row>
    <row r="8" spans="1:10" ht="30" customHeight="1" x14ac:dyDescent="0.25">
      <c r="A8">
        <f>IF(RobotGameScores[[#This Row],[Team Number]]&gt;0,MIN(_xlfn.RANK.EQ(RobotGameScores[[#This Row],[Match Score Average]],RobotGameScores[Match Score Average],0),NumberOfTeams),NumberOfTeams+1)</f>
        <v>8</v>
      </c>
      <c r="B8" s="8">
        <f>_xlfn.XLOOKUP(7,OfficialTeamList[Row],OfficialTeamList[Team Number],"ERROR",0)</f>
        <v>46844</v>
      </c>
      <c r="C8" s="20" t="str">
        <f>_xlfn.XLOOKUP(RobotDesignResults[[#This Row],[Team Number]],OfficialTeamList[Team Number],OfficialTeamList[Team Name],"",0,)</f>
        <v>Team 7</v>
      </c>
      <c r="D8">
        <v>55</v>
      </c>
      <c r="E8">
        <v>66</v>
      </c>
      <c r="F8">
        <v>18</v>
      </c>
      <c r="G8" s="8"/>
      <c r="H8" s="8"/>
      <c r="I8" s="8"/>
      <c r="J8" s="53">
        <f>SUM(RobotGameScores[[#This Row],[Match 1 Score]:[Match 6 Score]])/NumberOfRounds</f>
        <v>46.333333333333336</v>
      </c>
    </row>
    <row r="9" spans="1:10" ht="30" customHeight="1" x14ac:dyDescent="0.25">
      <c r="A9">
        <f>IF(RobotGameScores[[#This Row],[Team Number]]&gt;0,MIN(_xlfn.RANK.EQ(RobotGameScores[[#This Row],[Match Score Average]],RobotGameScores[Match Score Average],0),NumberOfTeams),NumberOfTeams+1)</f>
        <v>5</v>
      </c>
      <c r="B9" s="8">
        <f>_xlfn.XLOOKUP(8,OfficialTeamList[Row],OfficialTeamList[Team Number],"ERROR",0)</f>
        <v>26466</v>
      </c>
      <c r="C9" s="20" t="str">
        <f>_xlfn.XLOOKUP(RobotDesignResults[[#This Row],[Team Number]],OfficialTeamList[Team Number],OfficialTeamList[Team Name],"",0,)</f>
        <v>Team 8</v>
      </c>
      <c r="D9">
        <v>0</v>
      </c>
      <c r="E9">
        <v>54</v>
      </c>
      <c r="F9">
        <v>86</v>
      </c>
      <c r="G9" s="8">
        <v>4</v>
      </c>
      <c r="H9" s="8">
        <v>5</v>
      </c>
      <c r="I9" s="8">
        <v>6</v>
      </c>
      <c r="J9" s="53">
        <f>SUM(RobotGameScores[[#This Row],[Match 1 Score]:[Match 6 Score]])/NumberOfRounds</f>
        <v>51.666666666666664</v>
      </c>
    </row>
    <row r="10" spans="1:10" ht="30" customHeight="1" x14ac:dyDescent="0.25">
      <c r="A10">
        <f>IF(RobotGameScores[[#This Row],[Team Number]]&gt;0,MIN(_xlfn.RANK.EQ(RobotGameScores[[#This Row],[Match Score Average]],RobotGameScores[Match Score Average],0),NumberOfTeams),NumberOfTeams+1)</f>
        <v>9</v>
      </c>
      <c r="B10" s="8">
        <f>_xlfn.XLOOKUP(9,OfficialTeamList[Row],OfficialTeamList[Team Number],"ERROR",0)</f>
        <v>0</v>
      </c>
      <c r="C10" s="20" t="str">
        <f>_xlfn.XLOOKUP(RobotDesignResults[[#This Row],[Team Number]],OfficialTeamList[Team Number],OfficialTeamList[Team Name],"",0,)</f>
        <v/>
      </c>
      <c r="G10" s="8"/>
      <c r="H10" s="8"/>
      <c r="I10" s="8"/>
      <c r="J10" s="53">
        <f>SUM(RobotGameScores[[#This Row],[Match 1 Score]:[Match 6 Score]])/NumberOfRounds</f>
        <v>0</v>
      </c>
    </row>
    <row r="11" spans="1:10" ht="30" customHeight="1" x14ac:dyDescent="0.25">
      <c r="A11">
        <f>IF(RobotGameScores[[#This Row],[Team Number]]&gt;0,MIN(_xlfn.RANK.EQ(RobotGameScores[[#This Row],[Match Score Average]],RobotGameScores[Match Score Average],0),NumberOfTeams),NumberOfTeams+1)</f>
        <v>9</v>
      </c>
      <c r="B11" s="8">
        <f>_xlfn.XLOOKUP(10,OfficialTeamList[Row],OfficialTeamList[Team Number],"ERROR",0)</f>
        <v>0</v>
      </c>
      <c r="C11" s="20" t="str">
        <f>_xlfn.XLOOKUP(RobotDesignResults[[#This Row],[Team Number]],OfficialTeamList[Team Number],OfficialTeamList[Team Name],"",0,)</f>
        <v/>
      </c>
      <c r="G11" s="8"/>
      <c r="H11" s="8"/>
      <c r="I11" s="8"/>
      <c r="J11" s="53">
        <f>SUM(RobotGameScores[[#This Row],[Match 1 Score]:[Match 6 Score]])/NumberOfRounds</f>
        <v>0</v>
      </c>
    </row>
    <row r="12" spans="1:10" ht="30" customHeight="1" x14ac:dyDescent="0.25">
      <c r="A12">
        <f>IF(RobotGameScores[[#This Row],[Team Number]]&gt;0,MIN(_xlfn.RANK.EQ(RobotGameScores[[#This Row],[Match Score Average]],RobotGameScores[Match Score Average],0),NumberOfTeams),NumberOfTeams+1)</f>
        <v>9</v>
      </c>
      <c r="B12" s="8">
        <f>_xlfn.XLOOKUP(11,OfficialTeamList[Row],OfficialTeamList[Team Number],"ERROR",0)</f>
        <v>0</v>
      </c>
      <c r="C12" s="20" t="str">
        <f>_xlfn.XLOOKUP(RobotDesignResults[[#This Row],[Team Number]],OfficialTeamList[Team Number],OfficialTeamList[Team Name],"",0,)</f>
        <v/>
      </c>
      <c r="G12" s="8"/>
      <c r="H12" s="8"/>
      <c r="I12" s="8"/>
      <c r="J12" s="53">
        <f>SUM(RobotGameScores[[#This Row],[Match 1 Score]:[Match 6 Score]])/NumberOfRounds</f>
        <v>0</v>
      </c>
    </row>
    <row r="13" spans="1:10" ht="30" customHeight="1" x14ac:dyDescent="0.25">
      <c r="A13">
        <f>IF(RobotGameScores[[#This Row],[Team Number]]&gt;0,MIN(_xlfn.RANK.EQ(RobotGameScores[[#This Row],[Match Score Average]],RobotGameScores[Match Score Average],0),NumberOfTeams),NumberOfTeams+1)</f>
        <v>9</v>
      </c>
      <c r="B13" s="8">
        <f>_xlfn.XLOOKUP(12,OfficialTeamList[Row],OfficialTeamList[Team Number],"ERROR",0)</f>
        <v>0</v>
      </c>
      <c r="C13" s="20" t="str">
        <f>_xlfn.XLOOKUP(RobotDesignResults[[#This Row],[Team Number]],OfficialTeamList[Team Number],OfficialTeamList[Team Name],"",0,)</f>
        <v/>
      </c>
      <c r="G13" s="8"/>
      <c r="H13" s="8"/>
      <c r="I13" s="8"/>
      <c r="J13" s="53">
        <f>SUM(RobotGameScores[[#This Row],[Match 1 Score]:[Match 6 Score]])/NumberOfRounds</f>
        <v>0</v>
      </c>
    </row>
    <row r="14" spans="1:10" ht="30" customHeight="1" x14ac:dyDescent="0.25">
      <c r="A14">
        <f>IF(RobotGameScores[[#This Row],[Team Number]]&gt;0,MIN(_xlfn.RANK.EQ(RobotGameScores[[#This Row],[Match Score Average]],RobotGameScores[Match Score Average],0),NumberOfTeams),NumberOfTeams+1)</f>
        <v>9</v>
      </c>
      <c r="B14" s="8">
        <f>_xlfn.XLOOKUP(13,OfficialTeamList[Row],OfficialTeamList[Team Number],"ERROR",0)</f>
        <v>0</v>
      </c>
      <c r="C14" s="20" t="str">
        <f>_xlfn.XLOOKUP(RobotDesignResults[[#This Row],[Team Number]],OfficialTeamList[Team Number],OfficialTeamList[Team Name],"",0,)</f>
        <v/>
      </c>
      <c r="G14" s="8"/>
      <c r="H14" s="8"/>
      <c r="I14" s="8"/>
      <c r="J14" s="53">
        <f>SUM(RobotGameScores[[#This Row],[Match 1 Score]:[Match 6 Score]])/NumberOfRounds</f>
        <v>0</v>
      </c>
    </row>
    <row r="15" spans="1:10" ht="30" customHeight="1" x14ac:dyDescent="0.25">
      <c r="A15">
        <f>IF(RobotGameScores[[#This Row],[Team Number]]&gt;0,MIN(_xlfn.RANK.EQ(RobotGameScores[[#This Row],[Match Score Average]],RobotGameScores[Match Score Average],0),NumberOfTeams),NumberOfTeams+1)</f>
        <v>9</v>
      </c>
      <c r="B15" s="8">
        <f>_xlfn.XLOOKUP(14,OfficialTeamList[Row],OfficialTeamList[Team Number],"ERROR",0)</f>
        <v>0</v>
      </c>
      <c r="C15" s="20" t="str">
        <f>_xlfn.XLOOKUP(RobotDesignResults[[#This Row],[Team Number]],OfficialTeamList[Team Number],OfficialTeamList[Team Name],"",0,)</f>
        <v/>
      </c>
      <c r="G15" s="8"/>
      <c r="H15" s="8"/>
      <c r="I15" s="8"/>
      <c r="J15" s="53">
        <f>SUM(RobotGameScores[[#This Row],[Match 1 Score]:[Match 6 Score]])/NumberOfRounds</f>
        <v>0</v>
      </c>
    </row>
    <row r="16" spans="1:10" ht="30" customHeight="1" x14ac:dyDescent="0.25">
      <c r="A16">
        <f>IF(RobotGameScores[[#This Row],[Team Number]]&gt;0,MIN(_xlfn.RANK.EQ(RobotGameScores[[#This Row],[Match Score Average]],RobotGameScores[Match Score Average],0),NumberOfTeams),NumberOfTeams+1)</f>
        <v>9</v>
      </c>
      <c r="B16" s="8">
        <f>_xlfn.XLOOKUP(15,OfficialTeamList[Row],OfficialTeamList[Team Number],"ERROR",0)</f>
        <v>0</v>
      </c>
      <c r="C16" s="20" t="str">
        <f>_xlfn.XLOOKUP(RobotDesignResults[[#This Row],[Team Number]],OfficialTeamList[Team Number],OfficialTeamList[Team Name],"",0,)</f>
        <v/>
      </c>
      <c r="G16" s="8"/>
      <c r="H16" s="8"/>
      <c r="I16" s="8"/>
      <c r="J16" s="53">
        <f>SUM(RobotGameScores[[#This Row],[Match 1 Score]:[Match 6 Score]])/NumberOfRounds</f>
        <v>0</v>
      </c>
    </row>
    <row r="17" spans="1:10" ht="30" customHeight="1" x14ac:dyDescent="0.25">
      <c r="A17">
        <f>IF(RobotGameScores[[#This Row],[Team Number]]&gt;0,MIN(_xlfn.RANK.EQ(RobotGameScores[[#This Row],[Match Score Average]],RobotGameScores[Match Score Average],0),NumberOfTeams),NumberOfTeams+1)</f>
        <v>9</v>
      </c>
      <c r="B17" s="8">
        <f>_xlfn.XLOOKUP(16,OfficialTeamList[Row],OfficialTeamList[Team Number],"ERROR",0)</f>
        <v>0</v>
      </c>
      <c r="C17" s="20" t="str">
        <f>_xlfn.XLOOKUP(RobotDesignResults[[#This Row],[Team Number]],OfficialTeamList[Team Number],OfficialTeamList[Team Name],"",0,)</f>
        <v/>
      </c>
      <c r="G17" s="8"/>
      <c r="H17" s="8"/>
      <c r="I17" s="8"/>
      <c r="J17" s="53">
        <f>SUM(RobotGameScores[[#This Row],[Match 1 Score]:[Match 6 Score]])/NumberOfRounds</f>
        <v>0</v>
      </c>
    </row>
    <row r="18" spans="1:10" ht="30" customHeight="1" x14ac:dyDescent="0.25">
      <c r="A18">
        <f>IF(RobotGameScores[[#This Row],[Team Number]]&gt;0,MIN(_xlfn.RANK.EQ(RobotGameScores[[#This Row],[Match Score Average]],RobotGameScores[Match Score Average],0),NumberOfTeams),NumberOfTeams+1)</f>
        <v>9</v>
      </c>
      <c r="B18" s="8">
        <f>_xlfn.XLOOKUP(17,OfficialTeamList[Row],OfficialTeamList[Team Number],"ERROR",0)</f>
        <v>0</v>
      </c>
      <c r="C18" s="20" t="str">
        <f>_xlfn.XLOOKUP(RobotDesignResults[[#This Row],[Team Number]],OfficialTeamList[Team Number],OfficialTeamList[Team Name],"",0,)</f>
        <v/>
      </c>
      <c r="G18" s="8"/>
      <c r="H18" s="8"/>
      <c r="I18" s="8"/>
      <c r="J18" s="53">
        <f>SUM(RobotGameScores[[#This Row],[Match 1 Score]:[Match 6 Score]])/NumberOfRounds</f>
        <v>0</v>
      </c>
    </row>
    <row r="19" spans="1:10" ht="30" customHeight="1" x14ac:dyDescent="0.25">
      <c r="A19">
        <f>IF(RobotGameScores[[#This Row],[Team Number]]&gt;0,MIN(_xlfn.RANK.EQ(RobotGameScores[[#This Row],[Match Score Average]],RobotGameScores[Match Score Average],0),NumberOfTeams),NumberOfTeams+1)</f>
        <v>9</v>
      </c>
      <c r="B19" s="8">
        <f>_xlfn.XLOOKUP(18,OfficialTeamList[Row],OfficialTeamList[Team Number],"ERROR",0)</f>
        <v>0</v>
      </c>
      <c r="C19" s="20" t="str">
        <f>_xlfn.XLOOKUP(RobotDesignResults[[#This Row],[Team Number]],OfficialTeamList[Team Number],OfficialTeamList[Team Name],"",0,)</f>
        <v/>
      </c>
      <c r="G19" s="8"/>
      <c r="H19" s="8"/>
      <c r="I19" s="8"/>
      <c r="J19" s="53">
        <f>SUM(RobotGameScores[[#This Row],[Match 1 Score]:[Match 6 Score]])/NumberOfRounds</f>
        <v>0</v>
      </c>
    </row>
    <row r="20" spans="1:10" ht="30" customHeight="1" x14ac:dyDescent="0.25">
      <c r="A20">
        <f>IF(RobotGameScores[[#This Row],[Team Number]]&gt;0,MIN(_xlfn.RANK.EQ(RobotGameScores[[#This Row],[Match Score Average]],RobotGameScores[Match Score Average],0),NumberOfTeams),NumberOfTeams+1)</f>
        <v>9</v>
      </c>
      <c r="B20" s="8">
        <f>_xlfn.XLOOKUP(19,OfficialTeamList[Row],OfficialTeamList[Team Number],"ERROR",0)</f>
        <v>0</v>
      </c>
      <c r="C20" s="20" t="str">
        <f>_xlfn.XLOOKUP(RobotDesignResults[[#This Row],[Team Number]],OfficialTeamList[Team Number],OfficialTeamList[Team Name],"",0,)</f>
        <v/>
      </c>
      <c r="G20" s="8"/>
      <c r="H20" s="8"/>
      <c r="I20" s="8"/>
      <c r="J20" s="53">
        <f>SUM(RobotGameScores[[#This Row],[Match 1 Score]:[Match 6 Score]])/NumberOfRounds</f>
        <v>0</v>
      </c>
    </row>
    <row r="21" spans="1:10" ht="30" customHeight="1" x14ac:dyDescent="0.25">
      <c r="A21">
        <f>IF(RobotGameScores[[#This Row],[Team Number]]&gt;0,MIN(_xlfn.RANK.EQ(RobotGameScores[[#This Row],[Match Score Average]],RobotGameScores[Match Score Average],0),NumberOfTeams),NumberOfTeams+1)</f>
        <v>9</v>
      </c>
      <c r="B21" s="8">
        <f>_xlfn.XLOOKUP(20,OfficialTeamList[Row],OfficialTeamList[Team Number],"ERROR",0)</f>
        <v>0</v>
      </c>
      <c r="C21" s="20" t="str">
        <f>_xlfn.XLOOKUP(RobotDesignResults[[#This Row],[Team Number]],OfficialTeamList[Team Number],OfficialTeamList[Team Name],"",0,)</f>
        <v/>
      </c>
      <c r="G21" s="8"/>
      <c r="H21" s="8"/>
      <c r="I21" s="8"/>
      <c r="J21" s="53">
        <f>SUM(RobotGameScores[[#This Row],[Match 1 Score]:[Match 6 Score]])/NumberOfRounds</f>
        <v>0</v>
      </c>
    </row>
    <row r="22" spans="1:10" ht="30" customHeight="1" x14ac:dyDescent="0.25">
      <c r="A22">
        <f>IF(RobotGameScores[[#This Row],[Team Number]]&gt;0,MIN(_xlfn.RANK.EQ(RobotGameScores[[#This Row],[Match Score Average]],RobotGameScores[Match Score Average],0),NumberOfTeams),NumberOfTeams+1)</f>
        <v>9</v>
      </c>
      <c r="B22" s="8">
        <f>_xlfn.XLOOKUP(21,OfficialTeamList[Row],OfficialTeamList[Team Number],"ERROR",0)</f>
        <v>0</v>
      </c>
      <c r="C22" s="20" t="str">
        <f>_xlfn.XLOOKUP(RobotDesignResults[[#This Row],[Team Number]],OfficialTeamList[Team Number],OfficialTeamList[Team Name],"",0,)</f>
        <v/>
      </c>
      <c r="G22" s="8"/>
      <c r="H22" s="8"/>
      <c r="I22" s="8"/>
      <c r="J22" s="53">
        <f>SUM(RobotGameScores[[#This Row],[Match 1 Score]:[Match 6 Score]])/NumberOfRounds</f>
        <v>0</v>
      </c>
    </row>
    <row r="23" spans="1:10" ht="30" customHeight="1" x14ac:dyDescent="0.25">
      <c r="A23">
        <f>IF(RobotGameScores[[#This Row],[Team Number]]&gt;0,MIN(_xlfn.RANK.EQ(RobotGameScores[[#This Row],[Match Score Average]],RobotGameScores[Match Score Average],0),NumberOfTeams),NumberOfTeams+1)</f>
        <v>9</v>
      </c>
      <c r="B23" s="8">
        <f>_xlfn.XLOOKUP(22,OfficialTeamList[Row],OfficialTeamList[Team Number],"ERROR",0)</f>
        <v>0</v>
      </c>
      <c r="C23" s="20" t="str">
        <f>_xlfn.XLOOKUP(RobotDesignResults[[#This Row],[Team Number]],OfficialTeamList[Team Number],OfficialTeamList[Team Name],"",0,)</f>
        <v/>
      </c>
      <c r="G23" s="8"/>
      <c r="H23" s="8"/>
      <c r="I23" s="8"/>
      <c r="J23" s="53">
        <f>SUM(RobotGameScores[[#This Row],[Match 1 Score]:[Match 6 Score]])/NumberOfRounds</f>
        <v>0</v>
      </c>
    </row>
    <row r="24" spans="1:10" ht="30" customHeight="1" x14ac:dyDescent="0.25">
      <c r="A24">
        <f>IF(RobotGameScores[[#This Row],[Team Number]]&gt;0,MIN(_xlfn.RANK.EQ(RobotGameScores[[#This Row],[Match Score Average]],RobotGameScores[Match Score Average],0),NumberOfTeams),NumberOfTeams+1)</f>
        <v>9</v>
      </c>
      <c r="B24" s="8">
        <f>_xlfn.XLOOKUP(23,OfficialTeamList[Row],OfficialTeamList[Team Number],"ERROR",0)</f>
        <v>0</v>
      </c>
      <c r="C24" s="20" t="str">
        <f>_xlfn.XLOOKUP(RobotDesignResults[[#This Row],[Team Number]],OfficialTeamList[Team Number],OfficialTeamList[Team Name],"",0,)</f>
        <v/>
      </c>
      <c r="G24" s="8"/>
      <c r="H24" s="8"/>
      <c r="I24" s="8"/>
      <c r="J24" s="53">
        <f>SUM(RobotGameScores[[#This Row],[Match 1 Score]:[Match 6 Score]])/NumberOfRounds</f>
        <v>0</v>
      </c>
    </row>
    <row r="25" spans="1:10" ht="30" customHeight="1" x14ac:dyDescent="0.25">
      <c r="A25">
        <f>IF(RobotGameScores[[#This Row],[Team Number]]&gt;0,MIN(_xlfn.RANK.EQ(RobotGameScores[[#This Row],[Match Score Average]],RobotGameScores[Match Score Average],0),NumberOfTeams),NumberOfTeams+1)</f>
        <v>9</v>
      </c>
      <c r="B25" s="8">
        <f>_xlfn.XLOOKUP(24,OfficialTeamList[Row],OfficialTeamList[Team Number],"ERROR",0)</f>
        <v>0</v>
      </c>
      <c r="C25" s="20" t="str">
        <f>_xlfn.XLOOKUP(RobotDesignResults[[#This Row],[Team Number]],OfficialTeamList[Team Number],OfficialTeamList[Team Name],"",0,)</f>
        <v/>
      </c>
      <c r="G25" s="8"/>
      <c r="H25" s="8"/>
      <c r="I25" s="8"/>
      <c r="J25" s="53">
        <f>SUM(RobotGameScores[[#This Row],[Match 1 Score]:[Match 6 Score]])/NumberOfRounds</f>
        <v>0</v>
      </c>
    </row>
    <row r="26" spans="1:10" ht="30" customHeight="1" x14ac:dyDescent="0.25">
      <c r="A26">
        <f>IF(RobotGameScores[[#This Row],[Team Number]]&gt;0,MIN(_xlfn.RANK.EQ(RobotGameScores[[#This Row],[Match Score Average]],RobotGameScores[Match Score Average],0),NumberOfTeams),NumberOfTeams+1)</f>
        <v>9</v>
      </c>
      <c r="B26" s="8">
        <f>_xlfn.XLOOKUP(25,OfficialTeamList[Row],OfficialTeamList[Team Number],"ERROR",0)</f>
        <v>0</v>
      </c>
      <c r="C26" s="20" t="str">
        <f>_xlfn.XLOOKUP(RobotDesignResults[[#This Row],[Team Number]],OfficialTeamList[Team Number],OfficialTeamList[Team Name],"",0,)</f>
        <v/>
      </c>
      <c r="G26" s="8"/>
      <c r="H26" s="8"/>
      <c r="I26" s="8"/>
      <c r="J26" s="53">
        <f>SUM(RobotGameScores[[#This Row],[Match 1 Score]:[Match 6 Score]])/NumberOfRounds</f>
        <v>0</v>
      </c>
    </row>
    <row r="27" spans="1:10" ht="30" customHeight="1" x14ac:dyDescent="0.25">
      <c r="A27">
        <f>IF(RobotGameScores[[#This Row],[Team Number]]&gt;0,MIN(_xlfn.RANK.EQ(RobotGameScores[[#This Row],[Match Score Average]],RobotGameScores[Match Score Average],0),NumberOfTeams),NumberOfTeams+1)</f>
        <v>9</v>
      </c>
      <c r="B27" s="8">
        <f>_xlfn.XLOOKUP(26,OfficialTeamList[Row],OfficialTeamList[Team Number],"ERROR",0)</f>
        <v>0</v>
      </c>
      <c r="C27" s="20" t="str">
        <f>_xlfn.XLOOKUP(RobotDesignResults[[#This Row],[Team Number]],OfficialTeamList[Team Number],OfficialTeamList[Team Name],"",0,)</f>
        <v/>
      </c>
      <c r="G27" s="8"/>
      <c r="H27" s="8"/>
      <c r="I27" s="8"/>
      <c r="J27" s="53">
        <f>SUM(RobotGameScores[[#This Row],[Match 1 Score]:[Match 6 Score]])/NumberOfRounds</f>
        <v>0</v>
      </c>
    </row>
    <row r="28" spans="1:10" ht="30" customHeight="1" x14ac:dyDescent="0.25">
      <c r="A28">
        <f>IF(RobotGameScores[[#This Row],[Team Number]]&gt;0,MIN(_xlfn.RANK.EQ(RobotGameScores[[#This Row],[Match Score Average]],RobotGameScores[Match Score Average],0),NumberOfTeams),NumberOfTeams+1)</f>
        <v>9</v>
      </c>
      <c r="B28" s="8">
        <f>_xlfn.XLOOKUP(27,OfficialTeamList[Row],OfficialTeamList[Team Number],"ERROR",0)</f>
        <v>0</v>
      </c>
      <c r="C28" s="20" t="str">
        <f>_xlfn.XLOOKUP(RobotDesignResults[[#This Row],[Team Number]],OfficialTeamList[Team Number],OfficialTeamList[Team Name],"",0,)</f>
        <v/>
      </c>
      <c r="G28" s="8"/>
      <c r="H28" s="8"/>
      <c r="I28" s="8"/>
      <c r="J28" s="53">
        <f>SUM(RobotGameScores[[#This Row],[Match 1 Score]:[Match 6 Score]])/NumberOfRounds</f>
        <v>0</v>
      </c>
    </row>
    <row r="29" spans="1:10" ht="30" customHeight="1" x14ac:dyDescent="0.25">
      <c r="A29">
        <f>IF(RobotGameScores[[#This Row],[Team Number]]&gt;0,MIN(_xlfn.RANK.EQ(RobotGameScores[[#This Row],[Match Score Average]],RobotGameScores[Match Score Average],0),NumberOfTeams),NumberOfTeams+1)</f>
        <v>9</v>
      </c>
      <c r="B29" s="8">
        <f>_xlfn.XLOOKUP(28,OfficialTeamList[Row],OfficialTeamList[Team Number],"ERROR",0)</f>
        <v>0</v>
      </c>
      <c r="C29" s="20" t="str">
        <f>_xlfn.XLOOKUP(RobotDesignResults[[#This Row],[Team Number]],OfficialTeamList[Team Number],OfficialTeamList[Team Name],"",0,)</f>
        <v/>
      </c>
      <c r="G29" s="8"/>
      <c r="H29" s="8"/>
      <c r="I29" s="8"/>
      <c r="J29" s="53">
        <f>SUM(RobotGameScores[[#This Row],[Match 1 Score]:[Match 6 Score]])/NumberOfRounds</f>
        <v>0</v>
      </c>
    </row>
    <row r="30" spans="1:10" ht="30" customHeight="1" x14ac:dyDescent="0.25">
      <c r="A30">
        <f>IF(RobotGameScores[[#This Row],[Team Number]]&gt;0,MIN(_xlfn.RANK.EQ(RobotGameScores[[#This Row],[Match Score Average]],RobotGameScores[Match Score Average],0),NumberOfTeams),NumberOfTeams+1)</f>
        <v>9</v>
      </c>
      <c r="B30" s="8">
        <f>_xlfn.XLOOKUP(29,OfficialTeamList[Row],OfficialTeamList[Team Number],"ERROR",0)</f>
        <v>0</v>
      </c>
      <c r="C30" s="20" t="str">
        <f>_xlfn.XLOOKUP(RobotDesignResults[[#This Row],[Team Number]],OfficialTeamList[Team Number],OfficialTeamList[Team Name],"",0,)</f>
        <v/>
      </c>
      <c r="G30" s="8"/>
      <c r="H30" s="8"/>
      <c r="I30" s="8"/>
      <c r="J30" s="53">
        <f>SUM(RobotGameScores[[#This Row],[Match 1 Score]:[Match 6 Score]])/NumberOfRounds</f>
        <v>0</v>
      </c>
    </row>
    <row r="31" spans="1:10" ht="30" customHeight="1" x14ac:dyDescent="0.25">
      <c r="A31">
        <f>IF(RobotGameScores[[#This Row],[Team Number]]&gt;0,MIN(_xlfn.RANK.EQ(RobotGameScores[[#This Row],[Match Score Average]],RobotGameScores[Match Score Average],0),NumberOfTeams),NumberOfTeams+1)</f>
        <v>9</v>
      </c>
      <c r="B31" s="8">
        <f>_xlfn.XLOOKUP(30,OfficialTeamList[Row],OfficialTeamList[Team Number],"ERROR",0)</f>
        <v>0</v>
      </c>
      <c r="C31" s="20" t="str">
        <f>_xlfn.XLOOKUP(RobotDesignResults[[#This Row],[Team Number]],OfficialTeamList[Team Number],OfficialTeamList[Team Name],"",0,)</f>
        <v/>
      </c>
      <c r="G31" s="8"/>
      <c r="H31" s="8"/>
      <c r="I31" s="8"/>
      <c r="J31" s="53">
        <f>SUM(RobotGameScores[[#This Row],[Match 1 Score]:[Match 6 Score]])/NumberOfRounds</f>
        <v>0</v>
      </c>
    </row>
    <row r="32" spans="1:10" ht="30" customHeight="1" x14ac:dyDescent="0.25">
      <c r="A32">
        <f>IF(RobotGameScores[[#This Row],[Team Number]]&gt;0,MIN(_xlfn.RANK.EQ(RobotGameScores[[#This Row],[Match Score Average]],RobotGameScores[Match Score Average],0),NumberOfTeams),NumberOfTeams+1)</f>
        <v>9</v>
      </c>
      <c r="B32" s="8">
        <f>_xlfn.XLOOKUP(31,OfficialTeamList[Row],OfficialTeamList[Team Number],"ERROR",0)</f>
        <v>0</v>
      </c>
      <c r="C32" s="20" t="str">
        <f>_xlfn.XLOOKUP(RobotDesignResults[[#This Row],[Team Number]],OfficialTeamList[Team Number],OfficialTeamList[Team Name],"",0,)</f>
        <v/>
      </c>
      <c r="G32" s="8"/>
      <c r="H32" s="8"/>
      <c r="I32" s="8"/>
      <c r="J32" s="53">
        <f>SUM(RobotGameScores[[#This Row],[Match 1 Score]:[Match 6 Score]])/NumberOfRounds</f>
        <v>0</v>
      </c>
    </row>
    <row r="33" spans="1:10" ht="30" customHeight="1" x14ac:dyDescent="0.25">
      <c r="A33">
        <f>IF(RobotGameScores[[#This Row],[Team Number]]&gt;0,MIN(_xlfn.RANK.EQ(RobotGameScores[[#This Row],[Match Score Average]],RobotGameScores[Match Score Average],0),NumberOfTeams),NumberOfTeams+1)</f>
        <v>9</v>
      </c>
      <c r="B33" s="8">
        <f>_xlfn.XLOOKUP(32,OfficialTeamList[Row],OfficialTeamList[Team Number],"ERROR",0)</f>
        <v>0</v>
      </c>
      <c r="C33" s="20" t="str">
        <f>_xlfn.XLOOKUP(RobotDesignResults[[#This Row],[Team Number]],OfficialTeamList[Team Number],OfficialTeamList[Team Name],"",0,)</f>
        <v/>
      </c>
      <c r="G33" s="8"/>
      <c r="H33" s="8"/>
      <c r="I33" s="8"/>
      <c r="J33" s="53">
        <f>SUM(RobotGameScores[[#This Row],[Match 1 Score]:[Match 6 Score]])/NumberOfRounds</f>
        <v>0</v>
      </c>
    </row>
    <row r="34" spans="1:10" ht="30" customHeight="1" x14ac:dyDescent="0.25">
      <c r="A34">
        <f>IF(RobotGameScores[[#This Row],[Team Number]]&gt;0,MIN(_xlfn.RANK.EQ(RobotGameScores[[#This Row],[Match Score Average]],RobotGameScores[Match Score Average],0),NumberOfTeams),NumberOfTeams+1)</f>
        <v>9</v>
      </c>
      <c r="B34" s="8">
        <f>_xlfn.XLOOKUP(33,OfficialTeamList[Row],OfficialTeamList[Team Number],"ERROR",0)</f>
        <v>0</v>
      </c>
      <c r="C34" s="20" t="str">
        <f>_xlfn.XLOOKUP(RobotDesignResults[[#This Row],[Team Number]],OfficialTeamList[Team Number],OfficialTeamList[Team Name],"",0,)</f>
        <v/>
      </c>
      <c r="G34" s="8"/>
      <c r="H34" s="8"/>
      <c r="I34" s="8"/>
      <c r="J34" s="53">
        <f>SUM(RobotGameScores[[#This Row],[Match 1 Score]:[Match 6 Score]])/NumberOfRounds</f>
        <v>0</v>
      </c>
    </row>
    <row r="35" spans="1:10" ht="30" customHeight="1" x14ac:dyDescent="0.25">
      <c r="A35">
        <f>IF(RobotGameScores[[#This Row],[Team Number]]&gt;0,MIN(_xlfn.RANK.EQ(RobotGameScores[[#This Row],[Match Score Average]],RobotGameScores[Match Score Average],0),NumberOfTeams),NumberOfTeams+1)</f>
        <v>9</v>
      </c>
      <c r="B35" s="8">
        <f>_xlfn.XLOOKUP(34,OfficialTeamList[Row],OfficialTeamList[Team Number],"ERROR",0)</f>
        <v>0</v>
      </c>
      <c r="C35" s="20" t="str">
        <f>_xlfn.XLOOKUP(RobotDesignResults[[#This Row],[Team Number]],OfficialTeamList[Team Number],OfficialTeamList[Team Name],"",0,)</f>
        <v/>
      </c>
      <c r="G35" s="8"/>
      <c r="H35" s="8"/>
      <c r="I35" s="8"/>
      <c r="J35" s="53">
        <f>SUM(RobotGameScores[[#This Row],[Match 1 Score]:[Match 6 Score]])/NumberOfRounds</f>
        <v>0</v>
      </c>
    </row>
    <row r="36" spans="1:10" ht="30" customHeight="1" x14ac:dyDescent="0.25">
      <c r="A36">
        <f>IF(RobotGameScores[[#This Row],[Team Number]]&gt;0,MIN(_xlfn.RANK.EQ(RobotGameScores[[#This Row],[Match Score Average]],RobotGameScores[Match Score Average],0),NumberOfTeams),NumberOfTeams+1)</f>
        <v>9</v>
      </c>
      <c r="B36" s="8">
        <f>_xlfn.XLOOKUP(35,OfficialTeamList[Row],OfficialTeamList[Team Number],"ERROR",0)</f>
        <v>0</v>
      </c>
      <c r="C36" s="20" t="str">
        <f>_xlfn.XLOOKUP(RobotDesignResults[[#This Row],[Team Number]],OfficialTeamList[Team Number],OfficialTeamList[Team Name],"",0,)</f>
        <v/>
      </c>
      <c r="G36" s="8"/>
      <c r="H36" s="8"/>
      <c r="I36" s="8"/>
      <c r="J36" s="53">
        <f>SUM(RobotGameScores[[#This Row],[Match 1 Score]:[Match 6 Score]])/NumberOfRounds</f>
        <v>0</v>
      </c>
    </row>
    <row r="37" spans="1:10" ht="30" customHeight="1" x14ac:dyDescent="0.25">
      <c r="A37">
        <f>IF(RobotGameScores[[#This Row],[Team Number]]&gt;0,MIN(_xlfn.RANK.EQ(RobotGameScores[[#This Row],[Match Score Average]],RobotGameScores[Match Score Average],0),NumberOfTeams),NumberOfTeams+1)</f>
        <v>9</v>
      </c>
      <c r="B37" s="8">
        <f>_xlfn.XLOOKUP(36,OfficialTeamList[Row],OfficialTeamList[Team Number],"ERROR",0)</f>
        <v>0</v>
      </c>
      <c r="C37" s="20" t="str">
        <f>_xlfn.XLOOKUP(RobotDesignResults[[#This Row],[Team Number]],OfficialTeamList[Team Number],OfficialTeamList[Team Name],"",0,)</f>
        <v/>
      </c>
      <c r="G37" s="8"/>
      <c r="H37" s="8"/>
      <c r="I37" s="8"/>
      <c r="J37" s="53">
        <f>SUM(RobotGameScores[[#This Row],[Match 1 Score]:[Match 6 Score]])/NumberOfRounds</f>
        <v>0</v>
      </c>
    </row>
    <row r="38" spans="1:10" ht="30" customHeight="1" x14ac:dyDescent="0.25">
      <c r="A38">
        <f>IF(RobotGameScores[[#This Row],[Team Number]]&gt;0,MIN(_xlfn.RANK.EQ(RobotGameScores[[#This Row],[Match Score Average]],RobotGameScores[Match Score Average],0),NumberOfTeams),NumberOfTeams+1)</f>
        <v>9</v>
      </c>
      <c r="B38" s="8">
        <f>_xlfn.XLOOKUP(37,OfficialTeamList[Row],OfficialTeamList[Team Number],"ERROR",0)</f>
        <v>0</v>
      </c>
      <c r="C38" s="20" t="str">
        <f>_xlfn.XLOOKUP(RobotDesignResults[[#This Row],[Team Number]],OfficialTeamList[Team Number],OfficialTeamList[Team Name],"",0,)</f>
        <v/>
      </c>
      <c r="G38" s="8"/>
      <c r="H38" s="8"/>
      <c r="I38" s="8"/>
      <c r="J38" s="53">
        <f>SUM(RobotGameScores[[#This Row],[Match 1 Score]:[Match 6 Score]])/NumberOfRounds</f>
        <v>0</v>
      </c>
    </row>
    <row r="39" spans="1:10" ht="30" customHeight="1" x14ac:dyDescent="0.25">
      <c r="A39">
        <f>IF(RobotGameScores[[#This Row],[Team Number]]&gt;0,MIN(_xlfn.RANK.EQ(RobotGameScores[[#This Row],[Match Score Average]],RobotGameScores[Match Score Average],0),NumberOfTeams),NumberOfTeams+1)</f>
        <v>9</v>
      </c>
      <c r="B39" s="8">
        <f>_xlfn.XLOOKUP(38,OfficialTeamList[Row],OfficialTeamList[Team Number],"ERROR",0)</f>
        <v>0</v>
      </c>
      <c r="C39" s="20" t="str">
        <f>_xlfn.XLOOKUP(RobotDesignResults[[#This Row],[Team Number]],OfficialTeamList[Team Number],OfficialTeamList[Team Name],"",0,)</f>
        <v/>
      </c>
      <c r="G39" s="8"/>
      <c r="H39" s="8"/>
      <c r="I39" s="8"/>
      <c r="J39" s="53">
        <f>SUM(RobotGameScores[[#This Row],[Match 1 Score]:[Match 6 Score]])/NumberOfRounds</f>
        <v>0</v>
      </c>
    </row>
    <row r="40" spans="1:10" ht="30" customHeight="1" x14ac:dyDescent="0.25">
      <c r="A40">
        <f>IF(RobotGameScores[[#This Row],[Team Number]]&gt;0,MIN(_xlfn.RANK.EQ(RobotGameScores[[#This Row],[Match Score Average]],RobotGameScores[Match Score Average],0),NumberOfTeams),NumberOfTeams+1)</f>
        <v>9</v>
      </c>
      <c r="B40" s="8">
        <f>_xlfn.XLOOKUP(39,OfficialTeamList[Row],OfficialTeamList[Team Number],"ERROR",0)</f>
        <v>0</v>
      </c>
      <c r="C40" s="20" t="str">
        <f>_xlfn.XLOOKUP(RobotDesignResults[[#This Row],[Team Number]],OfficialTeamList[Team Number],OfficialTeamList[Team Name],"",0,)</f>
        <v/>
      </c>
      <c r="G40" s="8"/>
      <c r="H40" s="8"/>
      <c r="I40" s="8"/>
      <c r="J40" s="53">
        <f>SUM(RobotGameScores[[#This Row],[Match 1 Score]:[Match 6 Score]])/NumberOfRounds</f>
        <v>0</v>
      </c>
    </row>
    <row r="41" spans="1:10" ht="30" customHeight="1" x14ac:dyDescent="0.25">
      <c r="A41">
        <f>IF(RobotGameScores[[#This Row],[Team Number]]&gt;0,MIN(_xlfn.RANK.EQ(RobotGameScores[[#This Row],[Match Score Average]],RobotGameScores[Match Score Average],0),NumberOfTeams),NumberOfTeams+1)</f>
        <v>9</v>
      </c>
      <c r="B41" s="8">
        <f>_xlfn.XLOOKUP(40,OfficialTeamList[Row],OfficialTeamList[Team Number],"ERROR",0)</f>
        <v>0</v>
      </c>
      <c r="C41" s="20" t="str">
        <f>_xlfn.XLOOKUP(RobotDesignResults[[#This Row],[Team Number]],OfficialTeamList[Team Number],OfficialTeamList[Team Name],"",0,)</f>
        <v/>
      </c>
      <c r="G41" s="8"/>
      <c r="H41" s="8"/>
      <c r="I41" s="8"/>
      <c r="J41" s="53">
        <f>SUM(RobotGameScores[[#This Row],[Match 1 Score]:[Match 6 Score]])/NumberOfRounds</f>
        <v>0</v>
      </c>
    </row>
    <row r="42" spans="1:10" ht="30" customHeight="1" x14ac:dyDescent="0.25">
      <c r="A42">
        <f>IF(RobotGameScores[[#This Row],[Team Number]]&gt;0,MIN(_xlfn.RANK.EQ(RobotGameScores[[#This Row],[Match Score Average]],RobotGameScores[Match Score Average],0),NumberOfTeams),NumberOfTeams+1)</f>
        <v>9</v>
      </c>
      <c r="B42" s="8">
        <f>_xlfn.XLOOKUP(41,OfficialTeamList[Row],OfficialTeamList[Team Number],"ERROR",0)</f>
        <v>0</v>
      </c>
      <c r="C42" s="20" t="str">
        <f>_xlfn.XLOOKUP(RobotDesignResults[[#This Row],[Team Number]],OfficialTeamList[Team Number],OfficialTeamList[Team Name],"",0,)</f>
        <v/>
      </c>
      <c r="G42" s="8"/>
      <c r="H42" s="8"/>
      <c r="I42" s="8"/>
      <c r="J42" s="53">
        <f>SUM(RobotGameScores[[#This Row],[Match 1 Score]:[Match 6 Score]])/NumberOfRounds</f>
        <v>0</v>
      </c>
    </row>
    <row r="43" spans="1:10" ht="30" customHeight="1" x14ac:dyDescent="0.25">
      <c r="A43">
        <f>IF(RobotGameScores[[#This Row],[Team Number]]&gt;0,MIN(_xlfn.RANK.EQ(RobotGameScores[[#This Row],[Match Score Average]],RobotGameScores[Match Score Average],0),NumberOfTeams),NumberOfTeams+1)</f>
        <v>9</v>
      </c>
      <c r="B43" s="8">
        <f>_xlfn.XLOOKUP(42,OfficialTeamList[Row],OfficialTeamList[Team Number],"ERROR",0)</f>
        <v>0</v>
      </c>
      <c r="C43" s="20" t="str">
        <f>_xlfn.XLOOKUP(RobotDesignResults[[#This Row],[Team Number]],OfficialTeamList[Team Number],OfficialTeamList[Team Name],"",0,)</f>
        <v/>
      </c>
      <c r="G43" s="8"/>
      <c r="H43" s="8"/>
      <c r="I43" s="8"/>
      <c r="J43" s="53">
        <f>SUM(RobotGameScores[[#This Row],[Match 1 Score]:[Match 6 Score]])/NumberOfRounds</f>
        <v>0</v>
      </c>
    </row>
    <row r="44" spans="1:10" ht="30" customHeight="1" x14ac:dyDescent="0.25">
      <c r="A44">
        <f>IF(RobotGameScores[[#This Row],[Team Number]]&gt;0,MIN(_xlfn.RANK.EQ(RobotGameScores[[#This Row],[Match Score Average]],RobotGameScores[Match Score Average],0),NumberOfTeams),NumberOfTeams+1)</f>
        <v>9</v>
      </c>
      <c r="B44" s="8">
        <f>_xlfn.XLOOKUP(43,OfficialTeamList[Row],OfficialTeamList[Team Number],"ERROR",0)</f>
        <v>0</v>
      </c>
      <c r="C44" s="20" t="str">
        <f>_xlfn.XLOOKUP(RobotDesignResults[[#This Row],[Team Number]],OfficialTeamList[Team Number],OfficialTeamList[Team Name],"",0,)</f>
        <v/>
      </c>
      <c r="G44" s="8"/>
      <c r="H44" s="8"/>
      <c r="I44" s="8"/>
      <c r="J44" s="53">
        <f>SUM(RobotGameScores[[#This Row],[Match 1 Score]:[Match 6 Score]])/NumberOfRounds</f>
        <v>0</v>
      </c>
    </row>
    <row r="45" spans="1:10" ht="30" customHeight="1" x14ac:dyDescent="0.25">
      <c r="A45">
        <f>IF(RobotGameScores[[#This Row],[Team Number]]&gt;0,MIN(_xlfn.RANK.EQ(RobotGameScores[[#This Row],[Match Score Average]],RobotGameScores[Match Score Average],0),NumberOfTeams),NumberOfTeams+1)</f>
        <v>9</v>
      </c>
      <c r="B45" s="8">
        <f>_xlfn.XLOOKUP(44,OfficialTeamList[Row],OfficialTeamList[Team Number],"ERROR",0)</f>
        <v>0</v>
      </c>
      <c r="C45" s="20" t="str">
        <f>_xlfn.XLOOKUP(RobotDesignResults[[#This Row],[Team Number]],OfficialTeamList[Team Number],OfficialTeamList[Team Name],"",0,)</f>
        <v/>
      </c>
      <c r="G45" s="8"/>
      <c r="H45" s="8"/>
      <c r="I45" s="8"/>
      <c r="J45" s="53">
        <f>SUM(RobotGameScores[[#This Row],[Match 1 Score]:[Match 6 Score]])/NumberOfRounds</f>
        <v>0</v>
      </c>
    </row>
    <row r="46" spans="1:10" ht="30" customHeight="1" x14ac:dyDescent="0.25">
      <c r="A46">
        <f>IF(RobotGameScores[[#This Row],[Team Number]]&gt;0,MIN(_xlfn.RANK.EQ(RobotGameScores[[#This Row],[Match Score Average]],RobotGameScores[Match Score Average],0),NumberOfTeams),NumberOfTeams+1)</f>
        <v>9</v>
      </c>
      <c r="B46" s="8">
        <f>_xlfn.XLOOKUP(45,OfficialTeamList[Row],OfficialTeamList[Team Number],"ERROR",0)</f>
        <v>0</v>
      </c>
      <c r="C46" s="20" t="str">
        <f>_xlfn.XLOOKUP(RobotDesignResults[[#This Row],[Team Number]],OfficialTeamList[Team Number],OfficialTeamList[Team Name],"",0,)</f>
        <v/>
      </c>
      <c r="G46" s="8"/>
      <c r="H46" s="8"/>
      <c r="I46" s="8"/>
      <c r="J46" s="53">
        <f>SUM(RobotGameScores[[#This Row],[Match 1 Score]:[Match 6 Score]])/NumberOfRounds</f>
        <v>0</v>
      </c>
    </row>
    <row r="47" spans="1:10" ht="30" customHeight="1" x14ac:dyDescent="0.25">
      <c r="A47">
        <f>IF(RobotGameScores[[#This Row],[Team Number]]&gt;0,MIN(_xlfn.RANK.EQ(RobotGameScores[[#This Row],[Match Score Average]],RobotGameScores[Match Score Average],0),NumberOfTeams),NumberOfTeams+1)</f>
        <v>9</v>
      </c>
      <c r="B47" s="8">
        <f>_xlfn.XLOOKUP(46,OfficialTeamList[Row],OfficialTeamList[Team Number],"ERROR",0)</f>
        <v>0</v>
      </c>
      <c r="C47" s="20" t="str">
        <f>_xlfn.XLOOKUP(RobotDesignResults[[#This Row],[Team Number]],OfficialTeamList[Team Number],OfficialTeamList[Team Name],"",0,)</f>
        <v/>
      </c>
      <c r="G47" s="8"/>
      <c r="H47" s="8"/>
      <c r="I47" s="8"/>
      <c r="J47" s="53">
        <f>SUM(RobotGameScores[[#This Row],[Match 1 Score]:[Match 6 Score]])/NumberOfRounds</f>
        <v>0</v>
      </c>
    </row>
    <row r="48" spans="1:10" ht="30" customHeight="1" x14ac:dyDescent="0.25">
      <c r="A48">
        <f>IF(RobotGameScores[[#This Row],[Team Number]]&gt;0,MIN(_xlfn.RANK.EQ(RobotGameScores[[#This Row],[Match Score Average]],RobotGameScores[Match Score Average],0),NumberOfTeams),NumberOfTeams+1)</f>
        <v>9</v>
      </c>
      <c r="B48" s="8">
        <f>_xlfn.XLOOKUP(47,OfficialTeamList[Row],OfficialTeamList[Team Number],"ERROR",0)</f>
        <v>0</v>
      </c>
      <c r="C48" s="20" t="str">
        <f>_xlfn.XLOOKUP(RobotDesignResults[[#This Row],[Team Number]],OfficialTeamList[Team Number],OfficialTeamList[Team Name],"",0,)</f>
        <v/>
      </c>
      <c r="G48" s="8"/>
      <c r="H48" s="8"/>
      <c r="I48" s="8"/>
      <c r="J48" s="53">
        <f>SUM(RobotGameScores[[#This Row],[Match 1 Score]:[Match 6 Score]])/NumberOfRounds</f>
        <v>0</v>
      </c>
    </row>
    <row r="49" spans="1:10" ht="30" customHeight="1" x14ac:dyDescent="0.25">
      <c r="A49">
        <f>IF(RobotGameScores[[#This Row],[Team Number]]&gt;0,MIN(_xlfn.RANK.EQ(RobotGameScores[[#This Row],[Match Score Average]],RobotGameScores[Match Score Average],0),NumberOfTeams),NumberOfTeams+1)</f>
        <v>9</v>
      </c>
      <c r="B49" s="8">
        <f>_xlfn.XLOOKUP(48,OfficialTeamList[Row],OfficialTeamList[Team Number],"ERROR",0)</f>
        <v>0</v>
      </c>
      <c r="C49" s="20" t="str">
        <f>_xlfn.XLOOKUP(RobotDesignResults[[#This Row],[Team Number]],OfficialTeamList[Team Number],OfficialTeamList[Team Name],"",0,)</f>
        <v/>
      </c>
      <c r="G49" s="8"/>
      <c r="H49" s="8"/>
      <c r="I49" s="8"/>
      <c r="J49" s="53">
        <f>SUM(RobotGameScores[[#This Row],[Match 1 Score]:[Match 6 Score]])/NumberOfRounds</f>
        <v>0</v>
      </c>
    </row>
    <row r="50" spans="1:10" ht="30" customHeight="1" x14ac:dyDescent="0.25">
      <c r="A50">
        <f>IF(RobotGameScores[[#This Row],[Team Number]]&gt;0,MIN(_xlfn.RANK.EQ(RobotGameScores[[#This Row],[Match Score Average]],RobotGameScores[Match Score Average],0),NumberOfTeams),NumberOfTeams+1)</f>
        <v>9</v>
      </c>
      <c r="B50" s="8">
        <f>_xlfn.XLOOKUP(49,OfficialTeamList[Row],OfficialTeamList[Team Number],"ERROR",0)</f>
        <v>0</v>
      </c>
      <c r="C50" s="20" t="str">
        <f>_xlfn.XLOOKUP(RobotDesignResults[[#This Row],[Team Number]],OfficialTeamList[Team Number],OfficialTeamList[Team Name],"",0,)</f>
        <v/>
      </c>
      <c r="G50" s="8"/>
      <c r="H50" s="8"/>
      <c r="I50" s="8"/>
      <c r="J50" s="53">
        <f>SUM(RobotGameScores[[#This Row],[Match 1 Score]:[Match 6 Score]])/NumberOfRounds</f>
        <v>0</v>
      </c>
    </row>
    <row r="51" spans="1:10" ht="30" customHeight="1" x14ac:dyDescent="0.25">
      <c r="A51">
        <f>IF(RobotGameScores[[#This Row],[Team Number]]&gt;0,MIN(_xlfn.RANK.EQ(RobotGameScores[[#This Row],[Match Score Average]],RobotGameScores[Match Score Average],0),NumberOfTeams),NumberOfTeams+1)</f>
        <v>9</v>
      </c>
      <c r="B51" s="8">
        <f>_xlfn.XLOOKUP(50,OfficialTeamList[Row],OfficialTeamList[Team Number],"ERROR",0)</f>
        <v>0</v>
      </c>
      <c r="C51" s="20" t="str">
        <f>_xlfn.XLOOKUP(RobotDesignResults[[#This Row],[Team Number]],OfficialTeamList[Team Number],OfficialTeamList[Team Name],"",0,)</f>
        <v/>
      </c>
      <c r="G51" s="8"/>
      <c r="H51" s="8"/>
      <c r="I51" s="8"/>
      <c r="J51" s="53">
        <f>SUM(RobotGameScores[[#This Row],[Match 1 Score]:[Match 6 Score]])/NumberOfRounds</f>
        <v>0</v>
      </c>
    </row>
    <row r="52" spans="1:10" ht="30" customHeight="1" x14ac:dyDescent="0.25">
      <c r="A52">
        <f>IF(RobotGameScores[[#This Row],[Team Number]]&gt;0,MIN(_xlfn.RANK.EQ(RobotGameScores[[#This Row],[Match Score Average]],RobotGameScores[Match Score Average],0),NumberOfTeams),NumberOfTeams+1)</f>
        <v>9</v>
      </c>
      <c r="B52" s="8">
        <f>_xlfn.XLOOKUP(51,OfficialTeamList[Row],OfficialTeamList[Team Number],"ERROR",0)</f>
        <v>0</v>
      </c>
      <c r="C52" s="20" t="str">
        <f>_xlfn.XLOOKUP(RobotDesignResults[[#This Row],[Team Number]],OfficialTeamList[Team Number],OfficialTeamList[Team Name],"",0,)</f>
        <v/>
      </c>
      <c r="G52" s="8"/>
      <c r="H52" s="8"/>
      <c r="I52" s="8"/>
      <c r="J52" s="53">
        <f>SUM(RobotGameScores[[#This Row],[Match 1 Score]:[Match 6 Score]])/NumberOfRounds</f>
        <v>0</v>
      </c>
    </row>
    <row r="53" spans="1:10" ht="30" customHeight="1" x14ac:dyDescent="0.25">
      <c r="A53">
        <f>IF(RobotGameScores[[#This Row],[Team Number]]&gt;0,MIN(_xlfn.RANK.EQ(RobotGameScores[[#This Row],[Match Score Average]],RobotGameScores[Match Score Average],0),NumberOfTeams),NumberOfTeams+1)</f>
        <v>9</v>
      </c>
      <c r="B53" s="8">
        <f>_xlfn.XLOOKUP(52,OfficialTeamList[Row],OfficialTeamList[Team Number],"ERROR",0)</f>
        <v>0</v>
      </c>
      <c r="C53" s="20" t="str">
        <f>_xlfn.XLOOKUP(RobotDesignResults[[#This Row],[Team Number]],OfficialTeamList[Team Number],OfficialTeamList[Team Name],"",0,)</f>
        <v/>
      </c>
      <c r="G53" s="8"/>
      <c r="H53" s="8"/>
      <c r="I53" s="8"/>
      <c r="J53" s="53">
        <f>SUM(RobotGameScores[[#This Row],[Match 1 Score]:[Match 6 Score]])/NumberOfRounds</f>
        <v>0</v>
      </c>
    </row>
    <row r="54" spans="1:10" ht="30" customHeight="1" x14ac:dyDescent="0.25">
      <c r="A54">
        <f>IF(RobotGameScores[[#This Row],[Team Number]]&gt;0,MIN(_xlfn.RANK.EQ(RobotGameScores[[#This Row],[Match Score Average]],RobotGameScores[Match Score Average],0),NumberOfTeams),NumberOfTeams+1)</f>
        <v>9</v>
      </c>
      <c r="B54" s="8">
        <f>_xlfn.XLOOKUP(53,OfficialTeamList[Row],OfficialTeamList[Team Number],"ERROR",0)</f>
        <v>0</v>
      </c>
      <c r="C54" s="20" t="str">
        <f>_xlfn.XLOOKUP(RobotDesignResults[[#This Row],[Team Number]],OfficialTeamList[Team Number],OfficialTeamList[Team Name],"",0,)</f>
        <v/>
      </c>
      <c r="G54" s="8"/>
      <c r="H54" s="8"/>
      <c r="I54" s="8"/>
      <c r="J54" s="53">
        <f>SUM(RobotGameScores[[#This Row],[Match 1 Score]:[Match 6 Score]])/NumberOfRounds</f>
        <v>0</v>
      </c>
    </row>
    <row r="55" spans="1:10" ht="30" customHeight="1" x14ac:dyDescent="0.25">
      <c r="A55">
        <f>IF(RobotGameScores[[#This Row],[Team Number]]&gt;0,MIN(_xlfn.RANK.EQ(RobotGameScores[[#This Row],[Match Score Average]],RobotGameScores[Match Score Average],0),NumberOfTeams),NumberOfTeams+1)</f>
        <v>9</v>
      </c>
      <c r="B55" s="8">
        <f>_xlfn.XLOOKUP(54,OfficialTeamList[Row],OfficialTeamList[Team Number],"ERROR",0)</f>
        <v>0</v>
      </c>
      <c r="C55" s="20" t="str">
        <f>_xlfn.XLOOKUP(RobotDesignResults[[#This Row],[Team Number]],OfficialTeamList[Team Number],OfficialTeamList[Team Name],"",0,)</f>
        <v/>
      </c>
      <c r="G55" s="8"/>
      <c r="H55" s="8"/>
      <c r="I55" s="8"/>
      <c r="J55" s="53">
        <f>SUM(RobotGameScores[[#This Row],[Match 1 Score]:[Match 6 Score]])/NumberOfRounds</f>
        <v>0</v>
      </c>
    </row>
    <row r="56" spans="1:10" ht="30" customHeight="1" x14ac:dyDescent="0.25">
      <c r="A56">
        <f>IF(RobotGameScores[[#This Row],[Team Number]]&gt;0,MIN(_xlfn.RANK.EQ(RobotGameScores[[#This Row],[Match Score Average]],RobotGameScores[Match Score Average],0),NumberOfTeams),NumberOfTeams+1)</f>
        <v>9</v>
      </c>
      <c r="B56" s="8">
        <f>_xlfn.XLOOKUP(55,OfficialTeamList[Row],OfficialTeamList[Team Number],"ERROR",0)</f>
        <v>0</v>
      </c>
      <c r="C56" s="20" t="str">
        <f>_xlfn.XLOOKUP(RobotDesignResults[[#This Row],[Team Number]],OfficialTeamList[Team Number],OfficialTeamList[Team Name],"",0,)</f>
        <v/>
      </c>
      <c r="G56" s="8"/>
      <c r="H56" s="8"/>
      <c r="I56" s="8"/>
      <c r="J56" s="53">
        <f>SUM(RobotGameScores[[#This Row],[Match 1 Score]:[Match 6 Score]])/NumberOfRounds</f>
        <v>0</v>
      </c>
    </row>
    <row r="57" spans="1:10" ht="30" customHeight="1" x14ac:dyDescent="0.25">
      <c r="A57">
        <f>IF(RobotGameScores[[#This Row],[Team Number]]&gt;0,MIN(_xlfn.RANK.EQ(RobotGameScores[[#This Row],[Match Score Average]],RobotGameScores[Match Score Average],0),NumberOfTeams),NumberOfTeams+1)</f>
        <v>9</v>
      </c>
      <c r="B57" s="8">
        <f>_xlfn.XLOOKUP(56,OfficialTeamList[Row],OfficialTeamList[Team Number],"ERROR",0)</f>
        <v>0</v>
      </c>
      <c r="C57" s="20" t="str">
        <f>_xlfn.XLOOKUP(RobotDesignResults[[#This Row],[Team Number]],OfficialTeamList[Team Number],OfficialTeamList[Team Name],"",0,)</f>
        <v/>
      </c>
      <c r="G57" s="8"/>
      <c r="H57" s="8"/>
      <c r="I57" s="8"/>
      <c r="J57" s="53">
        <f>SUM(RobotGameScores[[#This Row],[Match 1 Score]:[Match 6 Score]])/NumberOfRounds</f>
        <v>0</v>
      </c>
    </row>
    <row r="58" spans="1:10" ht="30" customHeight="1" x14ac:dyDescent="0.25">
      <c r="A58">
        <f>IF(RobotGameScores[[#This Row],[Team Number]]&gt;0,MIN(_xlfn.RANK.EQ(RobotGameScores[[#This Row],[Match Score Average]],RobotGameScores[Match Score Average],0),NumberOfTeams),NumberOfTeams+1)</f>
        <v>9</v>
      </c>
      <c r="B58" s="8">
        <f>_xlfn.XLOOKUP(57,OfficialTeamList[Row],OfficialTeamList[Team Number],"ERROR",0)</f>
        <v>0</v>
      </c>
      <c r="C58" s="20" t="str">
        <f>_xlfn.XLOOKUP(RobotDesignResults[[#This Row],[Team Number]],OfficialTeamList[Team Number],OfficialTeamList[Team Name],"",0,)</f>
        <v/>
      </c>
      <c r="G58" s="8"/>
      <c r="H58" s="8"/>
      <c r="I58" s="8"/>
      <c r="J58" s="53">
        <f>SUM(RobotGameScores[[#This Row],[Match 1 Score]:[Match 6 Score]])/NumberOfRounds</f>
        <v>0</v>
      </c>
    </row>
    <row r="59" spans="1:10" ht="30" customHeight="1" x14ac:dyDescent="0.25">
      <c r="A59">
        <f>IF(RobotGameScores[[#This Row],[Team Number]]&gt;0,MIN(_xlfn.RANK.EQ(RobotGameScores[[#This Row],[Match Score Average]],RobotGameScores[Match Score Average],0),NumberOfTeams),NumberOfTeams+1)</f>
        <v>9</v>
      </c>
      <c r="B59" s="8">
        <f>_xlfn.XLOOKUP(58,OfficialTeamList[Row],OfficialTeamList[Team Number],"ERROR",0)</f>
        <v>0</v>
      </c>
      <c r="C59" s="20" t="str">
        <f>_xlfn.XLOOKUP(RobotDesignResults[[#This Row],[Team Number]],OfficialTeamList[Team Number],OfficialTeamList[Team Name],"",0,)</f>
        <v/>
      </c>
      <c r="G59" s="8"/>
      <c r="H59" s="8"/>
      <c r="I59" s="8"/>
      <c r="J59" s="53">
        <f>SUM(RobotGameScores[[#This Row],[Match 1 Score]:[Match 6 Score]])/NumberOfRounds</f>
        <v>0</v>
      </c>
    </row>
    <row r="60" spans="1:10" ht="30" customHeight="1" x14ac:dyDescent="0.25">
      <c r="A60">
        <f>IF(RobotGameScores[[#This Row],[Team Number]]&gt;0,MIN(_xlfn.RANK.EQ(RobotGameScores[[#This Row],[Match Score Average]],RobotGameScores[Match Score Average],0),NumberOfTeams),NumberOfTeams+1)</f>
        <v>9</v>
      </c>
      <c r="B60" s="8">
        <f>_xlfn.XLOOKUP(59,OfficialTeamList[Row],OfficialTeamList[Team Number],"ERROR",0)</f>
        <v>0</v>
      </c>
      <c r="C60" s="20" t="str">
        <f>_xlfn.XLOOKUP(RobotDesignResults[[#This Row],[Team Number]],OfficialTeamList[Team Number],OfficialTeamList[Team Name],"",0,)</f>
        <v/>
      </c>
      <c r="G60" s="8"/>
      <c r="H60" s="8"/>
      <c r="I60" s="8"/>
      <c r="J60" s="53">
        <f>SUM(RobotGameScores[[#This Row],[Match 1 Score]:[Match 6 Score]])/NumberOfRounds</f>
        <v>0</v>
      </c>
    </row>
    <row r="61" spans="1:10" ht="30" customHeight="1" x14ac:dyDescent="0.25">
      <c r="A61">
        <f>IF(RobotGameScores[[#This Row],[Team Number]]&gt;0,MIN(_xlfn.RANK.EQ(RobotGameScores[[#This Row],[Match Score Average]],RobotGameScores[Match Score Average],0),NumberOfTeams),NumberOfTeams+1)</f>
        <v>9</v>
      </c>
      <c r="B61" s="8">
        <f>_xlfn.XLOOKUP(60,OfficialTeamList[Row],OfficialTeamList[Team Number],"ERROR",0)</f>
        <v>0</v>
      </c>
      <c r="C61" s="20" t="str">
        <f>_xlfn.XLOOKUP(RobotDesignResults[[#This Row],[Team Number]],OfficialTeamList[Team Number],OfficialTeamList[Team Name],"",0,)</f>
        <v/>
      </c>
      <c r="G61" s="8"/>
      <c r="H61" s="8"/>
      <c r="I61" s="8"/>
      <c r="J61" s="53">
        <f>SUM(RobotGameScores[[#This Row],[Match 1 Score]:[Match 6 Score]])/NumberOfRounds</f>
        <v>0</v>
      </c>
    </row>
    <row r="62" spans="1:10" ht="30" customHeight="1" x14ac:dyDescent="0.25">
      <c r="A62">
        <f>IF(RobotGameScores[[#This Row],[Team Number]]&gt;0,MIN(_xlfn.RANK.EQ(RobotGameScores[[#This Row],[Match Score Average]],RobotGameScores[Match Score Average],0),NumberOfTeams),NumberOfTeams+1)</f>
        <v>9</v>
      </c>
      <c r="B62" s="8">
        <f>_xlfn.XLOOKUP(61,OfficialTeamList[Row],OfficialTeamList[Team Number],"ERROR",0)</f>
        <v>0</v>
      </c>
      <c r="C62" s="20" t="str">
        <f>_xlfn.XLOOKUP(RobotDesignResults[[#This Row],[Team Number]],OfficialTeamList[Team Number],OfficialTeamList[Team Name],"",0,)</f>
        <v/>
      </c>
      <c r="G62" s="8"/>
      <c r="H62" s="8"/>
      <c r="I62" s="8"/>
      <c r="J62" s="53">
        <f>SUM(RobotGameScores[[#This Row],[Match 1 Score]:[Match 6 Score]])/NumberOfRounds</f>
        <v>0</v>
      </c>
    </row>
    <row r="63" spans="1:10" ht="30" customHeight="1" x14ac:dyDescent="0.25">
      <c r="A63">
        <f>IF(RobotGameScores[[#This Row],[Team Number]]&gt;0,MIN(_xlfn.RANK.EQ(RobotGameScores[[#This Row],[Match Score Average]],RobotGameScores[Match Score Average],0),NumberOfTeams),NumberOfTeams+1)</f>
        <v>9</v>
      </c>
      <c r="B63" s="8">
        <f>_xlfn.XLOOKUP(62,OfficialTeamList[Row],OfficialTeamList[Team Number],"ERROR",0)</f>
        <v>0</v>
      </c>
      <c r="C63" s="20" t="str">
        <f>_xlfn.XLOOKUP(RobotDesignResults[[#This Row],[Team Number]],OfficialTeamList[Team Number],OfficialTeamList[Team Name],"",0,)</f>
        <v/>
      </c>
      <c r="G63" s="8"/>
      <c r="H63" s="8"/>
      <c r="I63" s="8"/>
      <c r="J63" s="53">
        <f>SUM(RobotGameScores[[#This Row],[Match 1 Score]:[Match 6 Score]])/NumberOfRounds</f>
        <v>0</v>
      </c>
    </row>
    <row r="64" spans="1:10" ht="30" customHeight="1" x14ac:dyDescent="0.25">
      <c r="A64">
        <f>IF(RobotGameScores[[#This Row],[Team Number]]&gt;0,MIN(_xlfn.RANK.EQ(RobotGameScores[[#This Row],[Match Score Average]],RobotGameScores[Match Score Average],0),NumberOfTeams),NumberOfTeams+1)</f>
        <v>9</v>
      </c>
      <c r="B64" s="8">
        <f>_xlfn.XLOOKUP(63,OfficialTeamList[Row],OfficialTeamList[Team Number],"ERROR",0)</f>
        <v>0</v>
      </c>
      <c r="C64" s="20" t="str">
        <f>_xlfn.XLOOKUP(RobotDesignResults[[#This Row],[Team Number]],OfficialTeamList[Team Number],OfficialTeamList[Team Name],"",0,)</f>
        <v/>
      </c>
      <c r="G64" s="8"/>
      <c r="H64" s="8"/>
      <c r="I64" s="8"/>
      <c r="J64" s="53">
        <f>SUM(RobotGameScores[[#This Row],[Match 1 Score]:[Match 6 Score]])/NumberOfRounds</f>
        <v>0</v>
      </c>
    </row>
    <row r="65" spans="1:10" ht="30" customHeight="1" x14ac:dyDescent="0.25">
      <c r="A65">
        <f>IF(RobotGameScores[[#This Row],[Team Number]]&gt;0,MIN(_xlfn.RANK.EQ(RobotGameScores[[#This Row],[Match Score Average]],RobotGameScores[Match Score Average],0),NumberOfTeams),NumberOfTeams+1)</f>
        <v>9</v>
      </c>
      <c r="B65" s="8">
        <f>_xlfn.XLOOKUP(64,OfficialTeamList[Row],OfficialTeamList[Team Number],"ERROR",0)</f>
        <v>0</v>
      </c>
      <c r="C65" s="20" t="str">
        <f>_xlfn.XLOOKUP(RobotDesignResults[[#This Row],[Team Number]],OfficialTeamList[Team Number],OfficialTeamList[Team Name],"",0,)</f>
        <v/>
      </c>
      <c r="G65" s="8"/>
      <c r="H65" s="8"/>
      <c r="I65" s="8"/>
      <c r="J65" s="53">
        <f>SUM(RobotGameScores[[#This Row],[Match 1 Score]:[Match 6 Score]])/NumberOfRounds</f>
        <v>0</v>
      </c>
    </row>
    <row r="66" spans="1:10" ht="30" customHeight="1" x14ac:dyDescent="0.25">
      <c r="A66">
        <f>IF(RobotGameScores[[#This Row],[Team Number]]&gt;0,MIN(_xlfn.RANK.EQ(RobotGameScores[[#This Row],[Match Score Average]],RobotGameScores[Match Score Average],0),NumberOfTeams),NumberOfTeams+1)</f>
        <v>9</v>
      </c>
      <c r="B66" s="8">
        <f>_xlfn.XLOOKUP(65,OfficialTeamList[Row],OfficialTeamList[Team Number],"ERROR",0)</f>
        <v>0</v>
      </c>
      <c r="C66" s="20" t="str">
        <f>_xlfn.XLOOKUP(RobotDesignResults[[#This Row],[Team Number]],OfficialTeamList[Team Number],OfficialTeamList[Team Name],"",0,)</f>
        <v/>
      </c>
      <c r="G66" s="8"/>
      <c r="H66" s="8"/>
      <c r="I66" s="8"/>
      <c r="J66" s="53">
        <f>SUM(RobotGameScores[[#This Row],[Match 1 Score]:[Match 6 Score]])/NumberOfRounds</f>
        <v>0</v>
      </c>
    </row>
    <row r="67" spans="1:10" ht="30" customHeight="1" x14ac:dyDescent="0.25">
      <c r="A67">
        <f>IF(RobotGameScores[[#This Row],[Team Number]]&gt;0,MIN(_xlfn.RANK.EQ(RobotGameScores[[#This Row],[Match Score Average]],RobotGameScores[Match Score Average],0),NumberOfTeams),NumberOfTeams+1)</f>
        <v>9</v>
      </c>
      <c r="B67" s="8">
        <f>_xlfn.XLOOKUP(66,OfficialTeamList[Row],OfficialTeamList[Team Number],"ERROR",0)</f>
        <v>0</v>
      </c>
      <c r="C67" s="20" t="str">
        <f>_xlfn.XLOOKUP(RobotDesignResults[[#This Row],[Team Number]],OfficialTeamList[Team Number],OfficialTeamList[Team Name],"",0,)</f>
        <v/>
      </c>
      <c r="G67" s="8"/>
      <c r="H67" s="8"/>
      <c r="I67" s="8"/>
      <c r="J67" s="53">
        <f>SUM(RobotGameScores[[#This Row],[Match 1 Score]:[Match 6 Score]])/NumberOfRounds</f>
        <v>0</v>
      </c>
    </row>
    <row r="68" spans="1:10" ht="30" customHeight="1" x14ac:dyDescent="0.25">
      <c r="A68">
        <f>IF(RobotGameScores[[#This Row],[Team Number]]&gt;0,MIN(_xlfn.RANK.EQ(RobotGameScores[[#This Row],[Match Score Average]],RobotGameScores[Match Score Average],0),NumberOfTeams),NumberOfTeams+1)</f>
        <v>9</v>
      </c>
      <c r="B68" s="8">
        <f>_xlfn.XLOOKUP(67,OfficialTeamList[Row],OfficialTeamList[Team Number],"ERROR",0)</f>
        <v>0</v>
      </c>
      <c r="C68" s="20" t="str">
        <f>_xlfn.XLOOKUP(RobotDesignResults[[#This Row],[Team Number]],OfficialTeamList[Team Number],OfficialTeamList[Team Name],"",0,)</f>
        <v/>
      </c>
      <c r="G68" s="8"/>
      <c r="H68" s="8"/>
      <c r="I68" s="8"/>
      <c r="J68" s="53">
        <f>SUM(RobotGameScores[[#This Row],[Match 1 Score]:[Match 6 Score]])/NumberOfRounds</f>
        <v>0</v>
      </c>
    </row>
    <row r="69" spans="1:10" ht="30" customHeight="1" x14ac:dyDescent="0.25">
      <c r="A69">
        <f>IF(RobotGameScores[[#This Row],[Team Number]]&gt;0,MIN(_xlfn.RANK.EQ(RobotGameScores[[#This Row],[Match Score Average]],RobotGameScores[Match Score Average],0),NumberOfTeams),NumberOfTeams+1)</f>
        <v>9</v>
      </c>
      <c r="B69" s="8">
        <f>_xlfn.XLOOKUP(68,OfficialTeamList[Row],OfficialTeamList[Team Number],"ERROR",0)</f>
        <v>0</v>
      </c>
      <c r="C69" s="20" t="str">
        <f>_xlfn.XLOOKUP(RobotDesignResults[[#This Row],[Team Number]],OfficialTeamList[Team Number],OfficialTeamList[Team Name],"",0,)</f>
        <v/>
      </c>
      <c r="G69" s="8"/>
      <c r="H69" s="8"/>
      <c r="I69" s="8"/>
      <c r="J69" s="53">
        <f>SUM(RobotGameScores[[#This Row],[Match 1 Score]:[Match 6 Score]])/NumberOfRounds</f>
        <v>0</v>
      </c>
    </row>
    <row r="70" spans="1:10" ht="30" customHeight="1" x14ac:dyDescent="0.25">
      <c r="A70">
        <f>IF(RobotGameScores[[#This Row],[Team Number]]&gt;0,MIN(_xlfn.RANK.EQ(RobotGameScores[[#This Row],[Match Score Average]],RobotGameScores[Match Score Average],0),NumberOfTeams),NumberOfTeams+1)</f>
        <v>9</v>
      </c>
      <c r="B70" s="8">
        <f>_xlfn.XLOOKUP(69,OfficialTeamList[Row],OfficialTeamList[Team Number],"ERROR",0)</f>
        <v>0</v>
      </c>
      <c r="C70" s="20" t="str">
        <f>_xlfn.XLOOKUP(RobotDesignResults[[#This Row],[Team Number]],OfficialTeamList[Team Number],OfficialTeamList[Team Name],"",0,)</f>
        <v/>
      </c>
      <c r="G70" s="8"/>
      <c r="H70" s="8"/>
      <c r="I70" s="8"/>
      <c r="J70" s="53">
        <f>SUM(RobotGameScores[[#This Row],[Match 1 Score]:[Match 6 Score]])/NumberOfRounds</f>
        <v>0</v>
      </c>
    </row>
    <row r="71" spans="1:10" ht="30" customHeight="1" x14ac:dyDescent="0.25">
      <c r="A71">
        <f>IF(RobotGameScores[[#This Row],[Team Number]]&gt;0,MIN(_xlfn.RANK.EQ(RobotGameScores[[#This Row],[Match Score Average]],RobotGameScores[Match Score Average],0),NumberOfTeams),NumberOfTeams+1)</f>
        <v>9</v>
      </c>
      <c r="B71" s="8">
        <f>_xlfn.XLOOKUP(70,OfficialTeamList[Row],OfficialTeamList[Team Number],"ERROR",0)</f>
        <v>0</v>
      </c>
      <c r="C71" s="20" t="str">
        <f>_xlfn.XLOOKUP(RobotDesignResults[[#This Row],[Team Number]],OfficialTeamList[Team Number],OfficialTeamList[Team Name],"",0,)</f>
        <v/>
      </c>
      <c r="G71" s="8"/>
      <c r="H71" s="8"/>
      <c r="I71" s="8"/>
      <c r="J71" s="53">
        <f>SUM(RobotGameScores[[#This Row],[Match 1 Score]:[Match 6 Score]])/NumberOfRounds</f>
        <v>0</v>
      </c>
    </row>
    <row r="72" spans="1:10" ht="30" customHeight="1" x14ac:dyDescent="0.25">
      <c r="A72">
        <f>IF(RobotGameScores[[#This Row],[Team Number]]&gt;0,MIN(_xlfn.RANK.EQ(RobotGameScores[[#This Row],[Match Score Average]],RobotGameScores[Match Score Average],0),NumberOfTeams),NumberOfTeams+1)</f>
        <v>9</v>
      </c>
      <c r="B72" s="8">
        <f>_xlfn.XLOOKUP(71,OfficialTeamList[Row],OfficialTeamList[Team Number],"ERROR",0)</f>
        <v>0</v>
      </c>
      <c r="C72" s="20" t="str">
        <f>_xlfn.XLOOKUP(RobotDesignResults[[#This Row],[Team Number]],OfficialTeamList[Team Number],OfficialTeamList[Team Name],"",0,)</f>
        <v/>
      </c>
      <c r="G72" s="8"/>
      <c r="H72" s="8"/>
      <c r="I72" s="8"/>
      <c r="J72" s="53">
        <f>SUM(RobotGameScores[[#This Row],[Match 1 Score]:[Match 6 Score]])/NumberOfRounds</f>
        <v>0</v>
      </c>
    </row>
    <row r="73" spans="1:10" ht="30" customHeight="1" x14ac:dyDescent="0.25">
      <c r="A73">
        <f>IF(RobotGameScores[[#This Row],[Team Number]]&gt;0,MIN(_xlfn.RANK.EQ(RobotGameScores[[#This Row],[Match Score Average]],RobotGameScores[Match Score Average],0),NumberOfTeams),NumberOfTeams+1)</f>
        <v>9</v>
      </c>
      <c r="B73" s="8">
        <f>_xlfn.XLOOKUP(72,OfficialTeamList[Row],OfficialTeamList[Team Number],"ERROR",0)</f>
        <v>0</v>
      </c>
      <c r="C73" s="20" t="str">
        <f>_xlfn.XLOOKUP(RobotDesignResults[[#This Row],[Team Number]],OfficialTeamList[Team Number],OfficialTeamList[Team Name],"",0,)</f>
        <v/>
      </c>
      <c r="G73" s="8"/>
      <c r="H73" s="8"/>
      <c r="I73" s="8"/>
      <c r="J73" s="53">
        <f>SUM(RobotGameScores[[#This Row],[Match 1 Score]:[Match 6 Score]])/NumberOfRounds</f>
        <v>0</v>
      </c>
    </row>
    <row r="74" spans="1:10" ht="30" customHeight="1" x14ac:dyDescent="0.25">
      <c r="A74">
        <f>IF(RobotGameScores[[#This Row],[Team Number]]&gt;0,MIN(_xlfn.RANK.EQ(RobotGameScores[[#This Row],[Match Score Average]],RobotGameScores[Match Score Average],0),NumberOfTeams),NumberOfTeams+1)</f>
        <v>9</v>
      </c>
      <c r="B74" s="8">
        <f>_xlfn.XLOOKUP(73,OfficialTeamList[Row],OfficialTeamList[Team Number],"ERROR",0)</f>
        <v>0</v>
      </c>
      <c r="C74" s="20" t="str">
        <f>_xlfn.XLOOKUP(RobotDesignResults[[#This Row],[Team Number]],OfficialTeamList[Team Number],OfficialTeamList[Team Name],"",0,)</f>
        <v/>
      </c>
      <c r="G74" s="8"/>
      <c r="H74" s="8"/>
      <c r="I74" s="8"/>
      <c r="J74" s="53">
        <f>SUM(RobotGameScores[[#This Row],[Match 1 Score]:[Match 6 Score]])/NumberOfRounds</f>
        <v>0</v>
      </c>
    </row>
    <row r="75" spans="1:10" ht="30" customHeight="1" x14ac:dyDescent="0.25">
      <c r="A75">
        <f>IF(RobotGameScores[[#This Row],[Team Number]]&gt;0,MIN(_xlfn.RANK.EQ(RobotGameScores[[#This Row],[Match Score Average]],RobotGameScores[Match Score Average],0),NumberOfTeams),NumberOfTeams+1)</f>
        <v>9</v>
      </c>
      <c r="B75" s="8">
        <f>_xlfn.XLOOKUP(74,OfficialTeamList[Row],OfficialTeamList[Team Number],"ERROR",0)</f>
        <v>0</v>
      </c>
      <c r="C75" s="20" t="str">
        <f>_xlfn.XLOOKUP(RobotDesignResults[[#This Row],[Team Number]],OfficialTeamList[Team Number],OfficialTeamList[Team Name],"",0,)</f>
        <v/>
      </c>
      <c r="G75" s="8"/>
      <c r="H75" s="8"/>
      <c r="I75" s="8"/>
      <c r="J75" s="53">
        <f>SUM(RobotGameScores[[#This Row],[Match 1 Score]:[Match 6 Score]])/NumberOfRounds</f>
        <v>0</v>
      </c>
    </row>
    <row r="76" spans="1:10" ht="30" customHeight="1" x14ac:dyDescent="0.25">
      <c r="A76">
        <f>IF(RobotGameScores[[#This Row],[Team Number]]&gt;0,MIN(_xlfn.RANK.EQ(RobotGameScores[[#This Row],[Match Score Average]],RobotGameScores[Match Score Average],0),NumberOfTeams),NumberOfTeams+1)</f>
        <v>9</v>
      </c>
      <c r="B76" s="8">
        <f>_xlfn.XLOOKUP(75,OfficialTeamList[Row],OfficialTeamList[Team Number],"ERROR",0)</f>
        <v>0</v>
      </c>
      <c r="C76" s="20" t="str">
        <f>_xlfn.XLOOKUP(RobotDesignResults[[#This Row],[Team Number]],OfficialTeamList[Team Number],OfficialTeamList[Team Name],"",0,)</f>
        <v/>
      </c>
      <c r="G76" s="8"/>
      <c r="H76" s="8"/>
      <c r="I76" s="8"/>
      <c r="J76" s="53">
        <f>SUM(RobotGameScores[[#This Row],[Match 1 Score]:[Match 6 Score]])/NumberOfRounds</f>
        <v>0</v>
      </c>
    </row>
    <row r="77" spans="1:10" ht="30" customHeight="1" x14ac:dyDescent="0.25">
      <c r="A77">
        <f>IF(RobotGameScores[[#This Row],[Team Number]]&gt;0,MIN(_xlfn.RANK.EQ(RobotGameScores[[#This Row],[Match Score Average]],RobotGameScores[Match Score Average],0),NumberOfTeams),NumberOfTeams+1)</f>
        <v>9</v>
      </c>
      <c r="B77" s="8">
        <f>_xlfn.XLOOKUP(76,OfficialTeamList[Row],OfficialTeamList[Team Number],"ERROR",0)</f>
        <v>0</v>
      </c>
      <c r="C77" s="20" t="str">
        <f>_xlfn.XLOOKUP(RobotDesignResults[[#This Row],[Team Number]],OfficialTeamList[Team Number],OfficialTeamList[Team Name],"",0,)</f>
        <v/>
      </c>
      <c r="G77" s="8"/>
      <c r="H77" s="8"/>
      <c r="I77" s="8"/>
      <c r="J77" s="53">
        <f>SUM(RobotGameScores[[#This Row],[Match 1 Score]:[Match 6 Score]])/NumberOfRounds</f>
        <v>0</v>
      </c>
    </row>
    <row r="78" spans="1:10" ht="30" customHeight="1" x14ac:dyDescent="0.25">
      <c r="A78">
        <f>IF(RobotGameScores[[#This Row],[Team Number]]&gt;0,MIN(_xlfn.RANK.EQ(RobotGameScores[[#This Row],[Match Score Average]],RobotGameScores[Match Score Average],0),NumberOfTeams),NumberOfTeams+1)</f>
        <v>9</v>
      </c>
      <c r="B78" s="8">
        <f>_xlfn.XLOOKUP(77,OfficialTeamList[Row],OfficialTeamList[Team Number],"ERROR",0)</f>
        <v>0</v>
      </c>
      <c r="C78" s="20" t="str">
        <f>_xlfn.XLOOKUP(RobotDesignResults[[#This Row],[Team Number]],OfficialTeamList[Team Number],OfficialTeamList[Team Name],"",0,)</f>
        <v/>
      </c>
      <c r="G78" s="8"/>
      <c r="H78" s="8"/>
      <c r="I78" s="8"/>
      <c r="J78" s="53">
        <f>SUM(RobotGameScores[[#This Row],[Match 1 Score]:[Match 6 Score]])/NumberOfRounds</f>
        <v>0</v>
      </c>
    </row>
    <row r="79" spans="1:10" ht="30" customHeight="1" x14ac:dyDescent="0.25">
      <c r="A79">
        <f>IF(RobotGameScores[[#This Row],[Team Number]]&gt;0,MIN(_xlfn.RANK.EQ(RobotGameScores[[#This Row],[Match Score Average]],RobotGameScores[Match Score Average],0),NumberOfTeams),NumberOfTeams+1)</f>
        <v>9</v>
      </c>
      <c r="B79" s="8">
        <f>_xlfn.XLOOKUP(78,OfficialTeamList[Row],OfficialTeamList[Team Number],"ERROR",0)</f>
        <v>0</v>
      </c>
      <c r="C79" s="20" t="str">
        <f>_xlfn.XLOOKUP(RobotDesignResults[[#This Row],[Team Number]],OfficialTeamList[Team Number],OfficialTeamList[Team Name],"",0,)</f>
        <v/>
      </c>
      <c r="G79" s="8"/>
      <c r="H79" s="8"/>
      <c r="I79" s="8"/>
      <c r="J79" s="53">
        <f>SUM(RobotGameScores[[#This Row],[Match 1 Score]:[Match 6 Score]])/NumberOfRounds</f>
        <v>0</v>
      </c>
    </row>
    <row r="80" spans="1:10" ht="30" customHeight="1" x14ac:dyDescent="0.25">
      <c r="A80">
        <f>IF(RobotGameScores[[#This Row],[Team Number]]&gt;0,MIN(_xlfn.RANK.EQ(RobotGameScores[[#This Row],[Match Score Average]],RobotGameScores[Match Score Average],0),NumberOfTeams),NumberOfTeams+1)</f>
        <v>9</v>
      </c>
      <c r="B80" s="8">
        <f>_xlfn.XLOOKUP(79,OfficialTeamList[Row],OfficialTeamList[Team Number],"ERROR",0)</f>
        <v>0</v>
      </c>
      <c r="C80" s="20" t="str">
        <f>_xlfn.XLOOKUP(RobotDesignResults[[#This Row],[Team Number]],OfficialTeamList[Team Number],OfficialTeamList[Team Name],"",0,)</f>
        <v/>
      </c>
      <c r="G80" s="8"/>
      <c r="H80" s="8"/>
      <c r="I80" s="8"/>
      <c r="J80" s="53">
        <f>SUM(RobotGameScores[[#This Row],[Match 1 Score]:[Match 6 Score]])/NumberOfRounds</f>
        <v>0</v>
      </c>
    </row>
    <row r="81" spans="1:10" ht="30" customHeight="1" x14ac:dyDescent="0.25">
      <c r="A81">
        <f>IF(RobotGameScores[[#This Row],[Team Number]]&gt;0,MIN(_xlfn.RANK.EQ(RobotGameScores[[#This Row],[Match Score Average]],RobotGameScores[Match Score Average],0),NumberOfTeams),NumberOfTeams+1)</f>
        <v>9</v>
      </c>
      <c r="B81" s="8">
        <f>_xlfn.XLOOKUP(80,OfficialTeamList[Row],OfficialTeamList[Team Number],"ERROR",0)</f>
        <v>0</v>
      </c>
      <c r="C81" s="20" t="str">
        <f>_xlfn.XLOOKUP(RobotDesignResults[[#This Row],[Team Number]],OfficialTeamList[Team Number],OfficialTeamList[Team Name],"",0,)</f>
        <v/>
      </c>
      <c r="G81" s="8"/>
      <c r="H81" s="8"/>
      <c r="I81" s="8"/>
      <c r="J81" s="53">
        <f>SUM(RobotGameScores[[#This Row],[Match 1 Score]:[Match 6 Score]])/NumberOfRounds</f>
        <v>0</v>
      </c>
    </row>
    <row r="82" spans="1:10" ht="30" customHeight="1" x14ac:dyDescent="0.25">
      <c r="A82">
        <f>IF(RobotGameScores[[#This Row],[Team Number]]&gt;0,MIN(_xlfn.RANK.EQ(RobotGameScores[[#This Row],[Match Score Average]],RobotGameScores[Match Score Average],0),NumberOfTeams),NumberOfTeams+1)</f>
        <v>9</v>
      </c>
      <c r="B82" s="8">
        <f>_xlfn.XLOOKUP(81,OfficialTeamList[Row],OfficialTeamList[Team Number],"ERROR",0)</f>
        <v>0</v>
      </c>
      <c r="C82" s="20" t="str">
        <f>_xlfn.XLOOKUP(RobotDesignResults[[#This Row],[Team Number]],OfficialTeamList[Team Number],OfficialTeamList[Team Name],"",0,)</f>
        <v/>
      </c>
      <c r="G82" s="8"/>
      <c r="H82" s="8"/>
      <c r="I82" s="8"/>
      <c r="J82" s="53">
        <f>SUM(RobotGameScores[[#This Row],[Match 1 Score]:[Match 6 Score]])/NumberOfRounds</f>
        <v>0</v>
      </c>
    </row>
    <row r="83" spans="1:10" ht="30" customHeight="1" x14ac:dyDescent="0.25">
      <c r="A83">
        <f>IF(RobotGameScores[[#This Row],[Team Number]]&gt;0,MIN(_xlfn.RANK.EQ(RobotGameScores[[#This Row],[Match Score Average]],RobotGameScores[Match Score Average],0),NumberOfTeams),NumberOfTeams+1)</f>
        <v>9</v>
      </c>
      <c r="B83" s="8">
        <f>_xlfn.XLOOKUP(82,OfficialTeamList[Row],OfficialTeamList[Team Number],"ERROR",0)</f>
        <v>0</v>
      </c>
      <c r="C83" s="20" t="str">
        <f>_xlfn.XLOOKUP(RobotDesignResults[[#This Row],[Team Number]],OfficialTeamList[Team Number],OfficialTeamList[Team Name],"",0,)</f>
        <v/>
      </c>
      <c r="G83" s="8"/>
      <c r="H83" s="8"/>
      <c r="I83" s="8"/>
      <c r="J83" s="53">
        <f>SUM(RobotGameScores[[#This Row],[Match 1 Score]:[Match 6 Score]])/NumberOfRounds</f>
        <v>0</v>
      </c>
    </row>
    <row r="84" spans="1:10" ht="30" customHeight="1" x14ac:dyDescent="0.25">
      <c r="A84">
        <f>IF(RobotGameScores[[#This Row],[Team Number]]&gt;0,MIN(_xlfn.RANK.EQ(RobotGameScores[[#This Row],[Match Score Average]],RobotGameScores[Match Score Average],0),NumberOfTeams),NumberOfTeams+1)</f>
        <v>9</v>
      </c>
      <c r="B84" s="8">
        <f>_xlfn.XLOOKUP(83,OfficialTeamList[Row],OfficialTeamList[Team Number],"ERROR",0)</f>
        <v>0</v>
      </c>
      <c r="C84" s="20" t="str">
        <f>_xlfn.XLOOKUP(RobotDesignResults[[#This Row],[Team Number]],OfficialTeamList[Team Number],OfficialTeamList[Team Name],"",0,)</f>
        <v/>
      </c>
      <c r="G84" s="8"/>
      <c r="H84" s="8"/>
      <c r="I84" s="8"/>
      <c r="J84" s="53">
        <f>SUM(RobotGameScores[[#This Row],[Match 1 Score]:[Match 6 Score]])/NumberOfRounds</f>
        <v>0</v>
      </c>
    </row>
    <row r="85" spans="1:10" ht="30" customHeight="1" x14ac:dyDescent="0.25">
      <c r="A85">
        <f>IF(RobotGameScores[[#This Row],[Team Number]]&gt;0,MIN(_xlfn.RANK.EQ(RobotGameScores[[#This Row],[Match Score Average]],RobotGameScores[Match Score Average],0),NumberOfTeams),NumberOfTeams+1)</f>
        <v>9</v>
      </c>
      <c r="B85" s="8">
        <f>_xlfn.XLOOKUP(84,OfficialTeamList[Row],OfficialTeamList[Team Number],"ERROR",0)</f>
        <v>0</v>
      </c>
      <c r="C85" s="20" t="str">
        <f>_xlfn.XLOOKUP(RobotDesignResults[[#This Row],[Team Number]],OfficialTeamList[Team Number],OfficialTeamList[Team Name],"",0,)</f>
        <v/>
      </c>
      <c r="G85" s="8"/>
      <c r="H85" s="8"/>
      <c r="I85" s="8"/>
      <c r="J85" s="53">
        <f>SUM(RobotGameScores[[#This Row],[Match 1 Score]:[Match 6 Score]])/NumberOfRounds</f>
        <v>0</v>
      </c>
    </row>
    <row r="86" spans="1:10" ht="30" customHeight="1" x14ac:dyDescent="0.25">
      <c r="A86">
        <f>IF(RobotGameScores[[#This Row],[Team Number]]&gt;0,MIN(_xlfn.RANK.EQ(RobotGameScores[[#This Row],[Match Score Average]],RobotGameScores[Match Score Average],0),NumberOfTeams),NumberOfTeams+1)</f>
        <v>9</v>
      </c>
      <c r="B86" s="8">
        <f>_xlfn.XLOOKUP(85,OfficialTeamList[Row],OfficialTeamList[Team Number],"ERROR",0)</f>
        <v>0</v>
      </c>
      <c r="C86" s="20" t="str">
        <f>_xlfn.XLOOKUP(RobotDesignResults[[#This Row],[Team Number]],OfficialTeamList[Team Number],OfficialTeamList[Team Name],"",0,)</f>
        <v/>
      </c>
      <c r="G86" s="8"/>
      <c r="H86" s="8"/>
      <c r="I86" s="8"/>
      <c r="J86" s="53">
        <f>SUM(RobotGameScores[[#This Row],[Match 1 Score]:[Match 6 Score]])/NumberOfRounds</f>
        <v>0</v>
      </c>
    </row>
    <row r="87" spans="1:10" ht="30" customHeight="1" x14ac:dyDescent="0.25">
      <c r="A87">
        <f>IF(RobotGameScores[[#This Row],[Team Number]]&gt;0,MIN(_xlfn.RANK.EQ(RobotGameScores[[#This Row],[Match Score Average]],RobotGameScores[Match Score Average],0),NumberOfTeams),NumberOfTeams+1)</f>
        <v>9</v>
      </c>
      <c r="B87" s="8">
        <f>_xlfn.XLOOKUP(86,OfficialTeamList[Row],OfficialTeamList[Team Number],"ERROR",0)</f>
        <v>0</v>
      </c>
      <c r="C87" s="20" t="str">
        <f>_xlfn.XLOOKUP(RobotDesignResults[[#This Row],[Team Number]],OfficialTeamList[Team Number],OfficialTeamList[Team Name],"",0,)</f>
        <v/>
      </c>
      <c r="G87" s="8"/>
      <c r="H87" s="8"/>
      <c r="I87" s="8"/>
      <c r="J87" s="53">
        <f>SUM(RobotGameScores[[#This Row],[Match 1 Score]:[Match 6 Score]])/NumberOfRounds</f>
        <v>0</v>
      </c>
    </row>
    <row r="88" spans="1:10" ht="30" customHeight="1" x14ac:dyDescent="0.25">
      <c r="A88">
        <f>IF(RobotGameScores[[#This Row],[Team Number]]&gt;0,MIN(_xlfn.RANK.EQ(RobotGameScores[[#This Row],[Match Score Average]],RobotGameScores[Match Score Average],0),NumberOfTeams),NumberOfTeams+1)</f>
        <v>9</v>
      </c>
      <c r="B88" s="8">
        <f>_xlfn.XLOOKUP(87,OfficialTeamList[Row],OfficialTeamList[Team Number],"ERROR",0)</f>
        <v>0</v>
      </c>
      <c r="C88" s="20" t="str">
        <f>_xlfn.XLOOKUP(RobotDesignResults[[#This Row],[Team Number]],OfficialTeamList[Team Number],OfficialTeamList[Team Name],"",0,)</f>
        <v/>
      </c>
      <c r="G88" s="8"/>
      <c r="H88" s="8"/>
      <c r="I88" s="8"/>
      <c r="J88" s="53">
        <f>SUM(RobotGameScores[[#This Row],[Match 1 Score]:[Match 6 Score]])/NumberOfRounds</f>
        <v>0</v>
      </c>
    </row>
    <row r="89" spans="1:10" ht="30" customHeight="1" x14ac:dyDescent="0.25">
      <c r="A89">
        <f>IF(RobotGameScores[[#This Row],[Team Number]]&gt;0,MIN(_xlfn.RANK.EQ(RobotGameScores[[#This Row],[Match Score Average]],RobotGameScores[Match Score Average],0),NumberOfTeams),NumberOfTeams+1)</f>
        <v>9</v>
      </c>
      <c r="B89" s="8">
        <f>_xlfn.XLOOKUP(88,OfficialTeamList[Row],OfficialTeamList[Team Number],"ERROR",0)</f>
        <v>0</v>
      </c>
      <c r="C89" s="20" t="str">
        <f>_xlfn.XLOOKUP(RobotDesignResults[[#This Row],[Team Number]],OfficialTeamList[Team Number],OfficialTeamList[Team Name],"",0,)</f>
        <v/>
      </c>
      <c r="G89" s="8"/>
      <c r="H89" s="8"/>
      <c r="I89" s="8"/>
      <c r="J89" s="53">
        <f>SUM(RobotGameScores[[#This Row],[Match 1 Score]:[Match 6 Score]])/NumberOfRounds</f>
        <v>0</v>
      </c>
    </row>
    <row r="90" spans="1:10" ht="30" customHeight="1" x14ac:dyDescent="0.25">
      <c r="A90">
        <f>IF(RobotGameScores[[#This Row],[Team Number]]&gt;0,MIN(_xlfn.RANK.EQ(RobotGameScores[[#This Row],[Match Score Average]],RobotGameScores[Match Score Average],0),NumberOfTeams),NumberOfTeams+1)</f>
        <v>9</v>
      </c>
      <c r="B90" s="8">
        <f>_xlfn.XLOOKUP(89,OfficialTeamList[Row],OfficialTeamList[Team Number],"ERROR",0)</f>
        <v>0</v>
      </c>
      <c r="C90" s="20" t="str">
        <f>_xlfn.XLOOKUP(RobotDesignResults[[#This Row],[Team Number]],OfficialTeamList[Team Number],OfficialTeamList[Team Name],"",0,)</f>
        <v/>
      </c>
      <c r="G90" s="8"/>
      <c r="H90" s="8"/>
      <c r="I90" s="8"/>
      <c r="J90" s="53">
        <f>SUM(RobotGameScores[[#This Row],[Match 1 Score]:[Match 6 Score]])/NumberOfRounds</f>
        <v>0</v>
      </c>
    </row>
    <row r="91" spans="1:10" ht="30" customHeight="1" x14ac:dyDescent="0.25">
      <c r="A91">
        <f>IF(RobotGameScores[[#This Row],[Team Number]]&gt;0,MIN(_xlfn.RANK.EQ(RobotGameScores[[#This Row],[Match Score Average]],RobotGameScores[Match Score Average],0),NumberOfTeams),NumberOfTeams+1)</f>
        <v>9</v>
      </c>
      <c r="B91" s="8">
        <f>_xlfn.XLOOKUP(90,OfficialTeamList[Row],OfficialTeamList[Team Number],"ERROR",0)</f>
        <v>0</v>
      </c>
      <c r="C91" s="20" t="str">
        <f>_xlfn.XLOOKUP(RobotDesignResults[[#This Row],[Team Number]],OfficialTeamList[Team Number],OfficialTeamList[Team Name],"",0,)</f>
        <v/>
      </c>
      <c r="G91" s="8"/>
      <c r="H91" s="8"/>
      <c r="I91" s="8"/>
      <c r="J91" s="53">
        <f>SUM(RobotGameScores[[#This Row],[Match 1 Score]:[Match 6 Score]])/NumberOfRounds</f>
        <v>0</v>
      </c>
    </row>
    <row r="92" spans="1:10" ht="30" customHeight="1" x14ac:dyDescent="0.25">
      <c r="A92">
        <f>IF(RobotGameScores[[#This Row],[Team Number]]&gt;0,MIN(_xlfn.RANK.EQ(RobotGameScores[[#This Row],[Match Score Average]],RobotGameScores[Match Score Average],0),NumberOfTeams),NumberOfTeams+1)</f>
        <v>9</v>
      </c>
      <c r="B92" s="8">
        <f>_xlfn.XLOOKUP(91,OfficialTeamList[Row],OfficialTeamList[Team Number],"ERROR",0)</f>
        <v>0</v>
      </c>
      <c r="C92" s="20" t="str">
        <f>_xlfn.XLOOKUP(RobotDesignResults[[#This Row],[Team Number]],OfficialTeamList[Team Number],OfficialTeamList[Team Name],"",0,)</f>
        <v/>
      </c>
      <c r="G92" s="8"/>
      <c r="H92" s="8"/>
      <c r="I92" s="8"/>
      <c r="J92" s="53">
        <f>SUM(RobotGameScores[[#This Row],[Match 1 Score]:[Match 6 Score]])/NumberOfRounds</f>
        <v>0</v>
      </c>
    </row>
    <row r="93" spans="1:10" ht="30" customHeight="1" x14ac:dyDescent="0.25">
      <c r="A93">
        <f>IF(RobotGameScores[[#This Row],[Team Number]]&gt;0,MIN(_xlfn.RANK.EQ(RobotGameScores[[#This Row],[Match Score Average]],RobotGameScores[Match Score Average],0),NumberOfTeams),NumberOfTeams+1)</f>
        <v>9</v>
      </c>
      <c r="B93" s="8">
        <f>_xlfn.XLOOKUP(92,OfficialTeamList[Row],OfficialTeamList[Team Number],"ERROR",0)</f>
        <v>0</v>
      </c>
      <c r="C93" s="20" t="str">
        <f>_xlfn.XLOOKUP(RobotDesignResults[[#This Row],[Team Number]],OfficialTeamList[Team Number],OfficialTeamList[Team Name],"",0,)</f>
        <v/>
      </c>
      <c r="G93" s="8"/>
      <c r="H93" s="8"/>
      <c r="I93" s="8"/>
      <c r="J93" s="53">
        <f>SUM(RobotGameScores[[#This Row],[Match 1 Score]:[Match 6 Score]])/NumberOfRounds</f>
        <v>0</v>
      </c>
    </row>
    <row r="94" spans="1:10" ht="30" customHeight="1" x14ac:dyDescent="0.25">
      <c r="A94">
        <f>IF(RobotGameScores[[#This Row],[Team Number]]&gt;0,MIN(_xlfn.RANK.EQ(RobotGameScores[[#This Row],[Match Score Average]],RobotGameScores[Match Score Average],0),NumberOfTeams),NumberOfTeams+1)</f>
        <v>9</v>
      </c>
      <c r="B94" s="8">
        <f>_xlfn.XLOOKUP(93,OfficialTeamList[Row],OfficialTeamList[Team Number],"ERROR",0)</f>
        <v>0</v>
      </c>
      <c r="C94" s="20" t="str">
        <f>_xlfn.XLOOKUP(RobotDesignResults[[#This Row],[Team Number]],OfficialTeamList[Team Number],OfficialTeamList[Team Name],"",0,)</f>
        <v/>
      </c>
      <c r="G94" s="8"/>
      <c r="H94" s="8"/>
      <c r="I94" s="8"/>
      <c r="J94" s="53">
        <f>SUM(RobotGameScores[[#This Row],[Match 1 Score]:[Match 6 Score]])/NumberOfRounds</f>
        <v>0</v>
      </c>
    </row>
    <row r="95" spans="1:10" ht="30" customHeight="1" x14ac:dyDescent="0.25">
      <c r="A95">
        <f>IF(RobotGameScores[[#This Row],[Team Number]]&gt;0,MIN(_xlfn.RANK.EQ(RobotGameScores[[#This Row],[Match Score Average]],RobotGameScores[Match Score Average],0),NumberOfTeams),NumberOfTeams+1)</f>
        <v>9</v>
      </c>
      <c r="B95" s="8">
        <f>_xlfn.XLOOKUP(94,OfficialTeamList[Row],OfficialTeamList[Team Number],"ERROR",0)</f>
        <v>0</v>
      </c>
      <c r="C95" s="20" t="str">
        <f>_xlfn.XLOOKUP(RobotDesignResults[[#This Row],[Team Number]],OfficialTeamList[Team Number],OfficialTeamList[Team Name],"",0,)</f>
        <v/>
      </c>
      <c r="G95" s="8"/>
      <c r="H95" s="8"/>
      <c r="I95" s="8"/>
      <c r="J95" s="53">
        <f>SUM(RobotGameScores[[#This Row],[Match 1 Score]:[Match 6 Score]])/NumberOfRounds</f>
        <v>0</v>
      </c>
    </row>
    <row r="96" spans="1:10" ht="30" customHeight="1" x14ac:dyDescent="0.25">
      <c r="A96">
        <f>IF(RobotGameScores[[#This Row],[Team Number]]&gt;0,MIN(_xlfn.RANK.EQ(RobotGameScores[[#This Row],[Match Score Average]],RobotGameScores[Match Score Average],0),NumberOfTeams),NumberOfTeams+1)</f>
        <v>9</v>
      </c>
      <c r="B96" s="8">
        <f>_xlfn.XLOOKUP(95,OfficialTeamList[Row],OfficialTeamList[Team Number],"ERROR",0)</f>
        <v>0</v>
      </c>
      <c r="C96" s="20" t="str">
        <f>_xlfn.XLOOKUP(RobotDesignResults[[#This Row],[Team Number]],OfficialTeamList[Team Number],OfficialTeamList[Team Name],"",0,)</f>
        <v/>
      </c>
      <c r="G96" s="8"/>
      <c r="H96" s="8"/>
      <c r="I96" s="8"/>
      <c r="J96" s="53">
        <f>SUM(RobotGameScores[[#This Row],[Match 1 Score]:[Match 6 Score]])/NumberOfRounds</f>
        <v>0</v>
      </c>
    </row>
    <row r="97" spans="1:10" ht="30" customHeight="1" x14ac:dyDescent="0.25">
      <c r="A97">
        <f>IF(RobotGameScores[[#This Row],[Team Number]]&gt;0,MIN(_xlfn.RANK.EQ(RobotGameScores[[#This Row],[Match Score Average]],RobotGameScores[Match Score Average],0),NumberOfTeams),NumberOfTeams+1)</f>
        <v>9</v>
      </c>
      <c r="B97" s="8">
        <f>_xlfn.XLOOKUP(96,OfficialTeamList[Row],OfficialTeamList[Team Number],"ERROR",0)</f>
        <v>0</v>
      </c>
      <c r="C97" s="20" t="str">
        <f>_xlfn.XLOOKUP(RobotDesignResults[[#This Row],[Team Number]],OfficialTeamList[Team Number],OfficialTeamList[Team Name],"",0,)</f>
        <v/>
      </c>
      <c r="G97" s="8"/>
      <c r="H97" s="8"/>
      <c r="I97" s="8"/>
      <c r="J97" s="53">
        <f>SUM(RobotGameScores[[#This Row],[Match 1 Score]:[Match 6 Score]])/NumberOfRounds</f>
        <v>0</v>
      </c>
    </row>
    <row r="98" spans="1:10" ht="30" customHeight="1" x14ac:dyDescent="0.25">
      <c r="A98">
        <f>IF(RobotGameScores[[#This Row],[Team Number]]&gt;0,MIN(_xlfn.RANK.EQ(RobotGameScores[[#This Row],[Match Score Average]],RobotGameScores[Match Score Average],0),NumberOfTeams),NumberOfTeams+1)</f>
        <v>9</v>
      </c>
      <c r="B98" s="8">
        <f>_xlfn.XLOOKUP(97,OfficialTeamList[Row],OfficialTeamList[Team Number],"ERROR",0)</f>
        <v>0</v>
      </c>
      <c r="C98" s="20" t="str">
        <f>_xlfn.XLOOKUP(RobotDesignResults[[#This Row],[Team Number]],OfficialTeamList[Team Number],OfficialTeamList[Team Name],"",0,)</f>
        <v/>
      </c>
      <c r="G98" s="8"/>
      <c r="H98" s="8"/>
      <c r="I98" s="8"/>
      <c r="J98" s="53">
        <f>SUM(RobotGameScores[[#This Row],[Match 1 Score]:[Match 6 Score]])/NumberOfRounds</f>
        <v>0</v>
      </c>
    </row>
    <row r="99" spans="1:10" ht="30" customHeight="1" x14ac:dyDescent="0.25">
      <c r="A99">
        <f>IF(RobotGameScores[[#This Row],[Team Number]]&gt;0,MIN(_xlfn.RANK.EQ(RobotGameScores[[#This Row],[Match Score Average]],RobotGameScores[Match Score Average],0),NumberOfTeams),NumberOfTeams+1)</f>
        <v>9</v>
      </c>
      <c r="B99" s="8">
        <f>_xlfn.XLOOKUP(98,OfficialTeamList[Row],OfficialTeamList[Team Number],"ERROR",0)</f>
        <v>0</v>
      </c>
      <c r="C99" s="20" t="str">
        <f>_xlfn.XLOOKUP(RobotDesignResults[[#This Row],[Team Number]],OfficialTeamList[Team Number],OfficialTeamList[Team Name],"",0,)</f>
        <v/>
      </c>
      <c r="G99" s="8"/>
      <c r="H99" s="8"/>
      <c r="I99" s="8"/>
      <c r="J99" s="53">
        <f>SUM(RobotGameScores[[#This Row],[Match 1 Score]:[Match 6 Score]])/NumberOfRounds</f>
        <v>0</v>
      </c>
    </row>
    <row r="100" spans="1:10" ht="30" customHeight="1" x14ac:dyDescent="0.25">
      <c r="A100">
        <f>IF(RobotGameScores[[#This Row],[Team Number]]&gt;0,MIN(_xlfn.RANK.EQ(RobotGameScores[[#This Row],[Match Score Average]],RobotGameScores[Match Score Average],0),NumberOfTeams),NumberOfTeams+1)</f>
        <v>9</v>
      </c>
      <c r="B100" s="8">
        <f>_xlfn.XLOOKUP(99,OfficialTeamList[Row],OfficialTeamList[Team Number],"ERROR",0)</f>
        <v>0</v>
      </c>
      <c r="C100" s="20" t="str">
        <f>_xlfn.XLOOKUP(RobotDesignResults[[#This Row],[Team Number]],OfficialTeamList[Team Number],OfficialTeamList[Team Name],"",0,)</f>
        <v/>
      </c>
      <c r="G100" s="8"/>
      <c r="H100" s="8"/>
      <c r="I100" s="8"/>
      <c r="J100" s="53">
        <f>SUM(RobotGameScores[[#This Row],[Match 1 Score]:[Match 6 Score]])/NumberOfRounds</f>
        <v>0</v>
      </c>
    </row>
    <row r="101" spans="1:10" ht="30" customHeight="1" x14ac:dyDescent="0.25">
      <c r="A101">
        <f>IF(RobotGameScores[[#This Row],[Team Number]]&gt;0,MIN(_xlfn.RANK.EQ(RobotGameScores[[#This Row],[Match Score Average]],RobotGameScores[Match Score Average],0),NumberOfTeams),NumberOfTeams+1)</f>
        <v>9</v>
      </c>
      <c r="B101" s="8">
        <f>_xlfn.XLOOKUP(100,OfficialTeamList[Row],OfficialTeamList[Team Number],"ERROR",0)</f>
        <v>0</v>
      </c>
      <c r="C101" s="20" t="str">
        <f>_xlfn.XLOOKUP(RobotDesignResults[[#This Row],[Team Number]],OfficialTeamList[Team Number],OfficialTeamList[Team Name],"",0,)</f>
        <v/>
      </c>
      <c r="G101" s="8"/>
      <c r="H101" s="8"/>
      <c r="I101" s="8"/>
      <c r="J101" s="53">
        <f>SUM(RobotGameScores[[#This Row],[Match 1 Score]:[Match 6 Score]])/NumberOfRounds</f>
        <v>0</v>
      </c>
    </row>
    <row r="102" spans="1:10" ht="30" customHeight="1" x14ac:dyDescent="0.25">
      <c r="A102">
        <f>IF(RobotGameScores[[#This Row],[Team Number]]&gt;0,MIN(_xlfn.RANK.EQ(RobotGameScores[[#This Row],[Match Score Average]],RobotGameScores[Match Score Average],0),NumberOfTeams),NumberOfTeams+1)</f>
        <v>9</v>
      </c>
      <c r="B102" s="8">
        <f>_xlfn.XLOOKUP(101,OfficialTeamList[Row],OfficialTeamList[Team Number],"ERROR",0)</f>
        <v>0</v>
      </c>
      <c r="C102" s="20" t="str">
        <f>_xlfn.XLOOKUP(RobotDesignResults[[#This Row],[Team Number]],OfficialTeamList[Team Number],OfficialTeamList[Team Name],"",0,)</f>
        <v/>
      </c>
      <c r="G102" s="8"/>
      <c r="H102" s="8"/>
      <c r="I102" s="8"/>
      <c r="J102" s="53">
        <f>SUM(RobotGameScores[[#This Row],[Match 1 Score]:[Match 6 Score]])/NumberOfRounds</f>
        <v>0</v>
      </c>
    </row>
    <row r="103" spans="1:10" ht="30" customHeight="1" x14ac:dyDescent="0.25">
      <c r="A103">
        <f>IF(RobotGameScores[[#This Row],[Team Number]]&gt;0,MIN(_xlfn.RANK.EQ(RobotGameScores[[#This Row],[Match Score Average]],RobotGameScores[Match Score Average],0),NumberOfTeams),NumberOfTeams+1)</f>
        <v>9</v>
      </c>
      <c r="B103" s="8">
        <f>_xlfn.XLOOKUP(102,OfficialTeamList[Row],OfficialTeamList[Team Number],"ERROR",0)</f>
        <v>0</v>
      </c>
      <c r="C103" s="20" t="str">
        <f>_xlfn.XLOOKUP(RobotDesignResults[[#This Row],[Team Number]],OfficialTeamList[Team Number],OfficialTeamList[Team Name],"",0,)</f>
        <v/>
      </c>
      <c r="G103" s="8"/>
      <c r="H103" s="8"/>
      <c r="I103" s="8"/>
      <c r="J103" s="53">
        <f>SUM(RobotGameScores[[#This Row],[Match 1 Score]:[Match 6 Score]])/NumberOfRounds</f>
        <v>0</v>
      </c>
    </row>
    <row r="104" spans="1:10" ht="30" customHeight="1" x14ac:dyDescent="0.25">
      <c r="A104">
        <f>IF(RobotGameScores[[#This Row],[Team Number]]&gt;0,MIN(_xlfn.RANK.EQ(RobotGameScores[[#This Row],[Match Score Average]],RobotGameScores[Match Score Average],0),NumberOfTeams),NumberOfTeams+1)</f>
        <v>9</v>
      </c>
      <c r="B104" s="8">
        <f>_xlfn.XLOOKUP(103,OfficialTeamList[Row],OfficialTeamList[Team Number],"ERROR",0)</f>
        <v>0</v>
      </c>
      <c r="C104" s="20" t="str">
        <f>_xlfn.XLOOKUP(RobotDesignResults[[#This Row],[Team Number]],OfficialTeamList[Team Number],OfficialTeamList[Team Name],"",0,)</f>
        <v/>
      </c>
      <c r="G104" s="8"/>
      <c r="H104" s="8"/>
      <c r="I104" s="8"/>
      <c r="J104" s="53">
        <f>SUM(RobotGameScores[[#This Row],[Match 1 Score]:[Match 6 Score]])/NumberOfRounds</f>
        <v>0</v>
      </c>
    </row>
    <row r="105" spans="1:10" ht="30" customHeight="1" x14ac:dyDescent="0.25">
      <c r="A105">
        <f>IF(RobotGameScores[[#This Row],[Team Number]]&gt;0,MIN(_xlfn.RANK.EQ(RobotGameScores[[#This Row],[Match Score Average]],RobotGameScores[Match Score Average],0),NumberOfTeams),NumberOfTeams+1)</f>
        <v>9</v>
      </c>
      <c r="B105" s="8">
        <f>_xlfn.XLOOKUP(104,OfficialTeamList[Row],OfficialTeamList[Team Number],"ERROR",0)</f>
        <v>0</v>
      </c>
      <c r="C105" s="20" t="str">
        <f>_xlfn.XLOOKUP(RobotDesignResults[[#This Row],[Team Number]],OfficialTeamList[Team Number],OfficialTeamList[Team Name],"",0,)</f>
        <v/>
      </c>
      <c r="G105" s="8"/>
      <c r="H105" s="8"/>
      <c r="I105" s="8"/>
      <c r="J105" s="53">
        <f>SUM(RobotGameScores[[#This Row],[Match 1 Score]:[Match 6 Score]])/NumberOfRounds</f>
        <v>0</v>
      </c>
    </row>
    <row r="106" spans="1:10" ht="30" customHeight="1" x14ac:dyDescent="0.25">
      <c r="A106">
        <f>IF(RobotGameScores[[#This Row],[Team Number]]&gt;0,MIN(_xlfn.RANK.EQ(RobotGameScores[[#This Row],[Match Score Average]],RobotGameScores[Match Score Average],0),NumberOfTeams),NumberOfTeams+1)</f>
        <v>9</v>
      </c>
      <c r="B106" s="8">
        <f>_xlfn.XLOOKUP(105,OfficialTeamList[Row],OfficialTeamList[Team Number],"ERROR",0)</f>
        <v>0</v>
      </c>
      <c r="C106" s="20" t="str">
        <f>_xlfn.XLOOKUP(RobotDesignResults[[#This Row],[Team Number]],OfficialTeamList[Team Number],OfficialTeamList[Team Name],"",0,)</f>
        <v/>
      </c>
      <c r="G106" s="8"/>
      <c r="H106" s="8"/>
      <c r="I106" s="8"/>
      <c r="J106" s="53">
        <f>SUM(RobotGameScores[[#This Row],[Match 1 Score]:[Match 6 Score]])/NumberOfRounds</f>
        <v>0</v>
      </c>
    </row>
    <row r="107" spans="1:10" ht="30" customHeight="1" x14ac:dyDescent="0.25">
      <c r="A107">
        <f>IF(RobotGameScores[[#This Row],[Team Number]]&gt;0,MIN(_xlfn.RANK.EQ(RobotGameScores[[#This Row],[Match Score Average]],RobotGameScores[Match Score Average],0),NumberOfTeams),NumberOfTeams+1)</f>
        <v>9</v>
      </c>
      <c r="B107" s="8">
        <f>_xlfn.XLOOKUP(106,OfficialTeamList[Row],OfficialTeamList[Team Number],"ERROR",0)</f>
        <v>0</v>
      </c>
      <c r="C107" s="20" t="str">
        <f>_xlfn.XLOOKUP(RobotDesignResults[[#This Row],[Team Number]],OfficialTeamList[Team Number],OfficialTeamList[Team Name],"",0,)</f>
        <v/>
      </c>
      <c r="G107" s="8"/>
      <c r="H107" s="8"/>
      <c r="I107" s="8"/>
      <c r="J107" s="53">
        <f>SUM(RobotGameScores[[#This Row],[Match 1 Score]:[Match 6 Score]])/NumberOfRounds</f>
        <v>0</v>
      </c>
    </row>
    <row r="108" spans="1:10" ht="30" customHeight="1" x14ac:dyDescent="0.25">
      <c r="A108">
        <f>IF(RobotGameScores[[#This Row],[Team Number]]&gt;0,MIN(_xlfn.RANK.EQ(RobotGameScores[[#This Row],[Match Score Average]],RobotGameScores[Match Score Average],0),NumberOfTeams),NumberOfTeams+1)</f>
        <v>9</v>
      </c>
      <c r="B108" s="8">
        <f>_xlfn.XLOOKUP(107,OfficialTeamList[Row],OfficialTeamList[Team Number],"ERROR",0)</f>
        <v>0</v>
      </c>
      <c r="C108" s="20" t="str">
        <f>_xlfn.XLOOKUP(RobotDesignResults[[#This Row],[Team Number]],OfficialTeamList[Team Number],OfficialTeamList[Team Name],"",0,)</f>
        <v/>
      </c>
      <c r="G108" s="8"/>
      <c r="H108" s="8"/>
      <c r="I108" s="8"/>
      <c r="J108" s="53">
        <f>SUM(RobotGameScores[[#This Row],[Match 1 Score]:[Match 6 Score]])/NumberOfRounds</f>
        <v>0</v>
      </c>
    </row>
    <row r="109" spans="1:10" ht="30" customHeight="1" x14ac:dyDescent="0.25">
      <c r="A109">
        <f>IF(RobotGameScores[[#This Row],[Team Number]]&gt;0,MIN(_xlfn.RANK.EQ(RobotGameScores[[#This Row],[Match Score Average]],RobotGameScores[Match Score Average],0),NumberOfTeams),NumberOfTeams+1)</f>
        <v>9</v>
      </c>
      <c r="B109" s="8">
        <f>_xlfn.XLOOKUP(108,OfficialTeamList[Row],OfficialTeamList[Team Number],"ERROR",0)</f>
        <v>0</v>
      </c>
      <c r="C109" s="20" t="str">
        <f>_xlfn.XLOOKUP(RobotDesignResults[[#This Row],[Team Number]],OfficialTeamList[Team Number],OfficialTeamList[Team Name],"",0,)</f>
        <v/>
      </c>
      <c r="G109" s="8"/>
      <c r="H109" s="8"/>
      <c r="I109" s="8"/>
      <c r="J109" s="53">
        <f>SUM(RobotGameScores[[#This Row],[Match 1 Score]:[Match 6 Score]])/NumberOfRounds</f>
        <v>0</v>
      </c>
    </row>
    <row r="110" spans="1:10" ht="30" customHeight="1" x14ac:dyDescent="0.25">
      <c r="A110">
        <f>IF(RobotGameScores[[#This Row],[Team Number]]&gt;0,MIN(_xlfn.RANK.EQ(RobotGameScores[[#This Row],[Match Score Average]],RobotGameScores[Match Score Average],0),NumberOfTeams),NumberOfTeams+1)</f>
        <v>9</v>
      </c>
      <c r="B110" s="8">
        <f>_xlfn.XLOOKUP(109,OfficialTeamList[Row],OfficialTeamList[Team Number],"ERROR",0)</f>
        <v>0</v>
      </c>
      <c r="C110" s="20" t="str">
        <f>_xlfn.XLOOKUP(RobotDesignResults[[#This Row],[Team Number]],OfficialTeamList[Team Number],OfficialTeamList[Team Name],"",0,)</f>
        <v/>
      </c>
      <c r="G110" s="8"/>
      <c r="H110" s="8"/>
      <c r="I110" s="8"/>
      <c r="J110" s="53">
        <f>SUM(RobotGameScores[[#This Row],[Match 1 Score]:[Match 6 Score]])/NumberOfRounds</f>
        <v>0</v>
      </c>
    </row>
    <row r="111" spans="1:10" ht="30" customHeight="1" x14ac:dyDescent="0.25">
      <c r="A111">
        <f>IF(RobotGameScores[[#This Row],[Team Number]]&gt;0,MIN(_xlfn.RANK.EQ(RobotGameScores[[#This Row],[Match Score Average]],RobotGameScores[Match Score Average],0),NumberOfTeams),NumberOfTeams+1)</f>
        <v>9</v>
      </c>
      <c r="B111" s="8">
        <f>_xlfn.XLOOKUP(110,OfficialTeamList[Row],OfficialTeamList[Team Number],"ERROR",0)</f>
        <v>0</v>
      </c>
      <c r="C111" s="20" t="str">
        <f>_xlfn.XLOOKUP(RobotDesignResults[[#This Row],[Team Number]],OfficialTeamList[Team Number],OfficialTeamList[Team Name],"",0,)</f>
        <v/>
      </c>
      <c r="G111" s="8"/>
      <c r="H111" s="8"/>
      <c r="I111" s="8"/>
      <c r="J111" s="53">
        <f>SUM(RobotGameScores[[#This Row],[Match 1 Score]:[Match 6 Score]])/NumberOfRounds</f>
        <v>0</v>
      </c>
    </row>
    <row r="112" spans="1:10" ht="30" customHeight="1" x14ac:dyDescent="0.25">
      <c r="A112">
        <f>IF(RobotGameScores[[#This Row],[Team Number]]&gt;0,MIN(_xlfn.RANK.EQ(RobotGameScores[[#This Row],[Match Score Average]],RobotGameScores[Match Score Average],0),NumberOfTeams),NumberOfTeams+1)</f>
        <v>9</v>
      </c>
      <c r="B112" s="8">
        <f>_xlfn.XLOOKUP(111,OfficialTeamList[Row],OfficialTeamList[Team Number],"ERROR",0)</f>
        <v>0</v>
      </c>
      <c r="C112" s="20" t="str">
        <f>_xlfn.XLOOKUP(RobotDesignResults[[#This Row],[Team Number]],OfficialTeamList[Team Number],OfficialTeamList[Team Name],"",0,)</f>
        <v/>
      </c>
      <c r="G112" s="8"/>
      <c r="H112" s="8"/>
      <c r="I112" s="8"/>
      <c r="J112" s="53">
        <f>SUM(RobotGameScores[[#This Row],[Match 1 Score]:[Match 6 Score]])/NumberOfRounds</f>
        <v>0</v>
      </c>
    </row>
    <row r="113" spans="1:10" ht="30" customHeight="1" x14ac:dyDescent="0.25">
      <c r="A113">
        <f>IF(RobotGameScores[[#This Row],[Team Number]]&gt;0,MIN(_xlfn.RANK.EQ(RobotGameScores[[#This Row],[Match Score Average]],RobotGameScores[Match Score Average],0),NumberOfTeams),NumberOfTeams+1)</f>
        <v>9</v>
      </c>
      <c r="B113" s="8">
        <f>_xlfn.XLOOKUP(112,OfficialTeamList[Row],OfficialTeamList[Team Number],"ERROR",0)</f>
        <v>0</v>
      </c>
      <c r="C113" s="20" t="str">
        <f>_xlfn.XLOOKUP(RobotDesignResults[[#This Row],[Team Number]],OfficialTeamList[Team Number],OfficialTeamList[Team Name],"",0,)</f>
        <v/>
      </c>
      <c r="G113" s="8"/>
      <c r="H113" s="8"/>
      <c r="I113" s="8"/>
      <c r="J113" s="53">
        <f>SUM(RobotGameScores[[#This Row],[Match 1 Score]:[Match 6 Score]])/NumberOfRounds</f>
        <v>0</v>
      </c>
    </row>
    <row r="114" spans="1:10" ht="30" customHeight="1" x14ac:dyDescent="0.25">
      <c r="A114">
        <f>IF(RobotGameScores[[#This Row],[Team Number]]&gt;0,MIN(_xlfn.RANK.EQ(RobotGameScores[[#This Row],[Match Score Average]],RobotGameScores[Match Score Average],0),NumberOfTeams),NumberOfTeams+1)</f>
        <v>9</v>
      </c>
      <c r="B114" s="8">
        <f>_xlfn.XLOOKUP(113,OfficialTeamList[Row],OfficialTeamList[Team Number],"ERROR",0)</f>
        <v>0</v>
      </c>
      <c r="C114" s="20" t="str">
        <f>_xlfn.XLOOKUP(RobotDesignResults[[#This Row],[Team Number]],OfficialTeamList[Team Number],OfficialTeamList[Team Name],"",0,)</f>
        <v/>
      </c>
      <c r="G114" s="8"/>
      <c r="H114" s="8"/>
      <c r="I114" s="8"/>
      <c r="J114" s="53">
        <f>SUM(RobotGameScores[[#This Row],[Match 1 Score]:[Match 6 Score]])/NumberOfRounds</f>
        <v>0</v>
      </c>
    </row>
    <row r="115" spans="1:10" ht="30" customHeight="1" x14ac:dyDescent="0.25">
      <c r="A115">
        <f>IF(RobotGameScores[[#This Row],[Team Number]]&gt;0,MIN(_xlfn.RANK.EQ(RobotGameScores[[#This Row],[Match Score Average]],RobotGameScores[Match Score Average],0),NumberOfTeams),NumberOfTeams+1)</f>
        <v>9</v>
      </c>
      <c r="B115" s="8">
        <f>_xlfn.XLOOKUP(114,OfficialTeamList[Row],OfficialTeamList[Team Number],"ERROR",0)</f>
        <v>0</v>
      </c>
      <c r="C115" s="20" t="str">
        <f>_xlfn.XLOOKUP(RobotDesignResults[[#This Row],[Team Number]],OfficialTeamList[Team Number],OfficialTeamList[Team Name],"",0,)</f>
        <v/>
      </c>
      <c r="G115" s="8"/>
      <c r="H115" s="8"/>
      <c r="I115" s="8"/>
      <c r="J115" s="53">
        <f>SUM(RobotGameScores[[#This Row],[Match 1 Score]:[Match 6 Score]])/NumberOfRounds</f>
        <v>0</v>
      </c>
    </row>
    <row r="116" spans="1:10" ht="30" customHeight="1" x14ac:dyDescent="0.25">
      <c r="A116">
        <f>IF(RobotGameScores[[#This Row],[Team Number]]&gt;0,MIN(_xlfn.RANK.EQ(RobotGameScores[[#This Row],[Match Score Average]],RobotGameScores[Match Score Average],0),NumberOfTeams),NumberOfTeams+1)</f>
        <v>9</v>
      </c>
      <c r="B116" s="8">
        <f>_xlfn.XLOOKUP(115,OfficialTeamList[Row],OfficialTeamList[Team Number],"ERROR",0)</f>
        <v>0</v>
      </c>
      <c r="C116" s="20" t="str">
        <f>_xlfn.XLOOKUP(RobotDesignResults[[#This Row],[Team Number]],OfficialTeamList[Team Number],OfficialTeamList[Team Name],"",0,)</f>
        <v/>
      </c>
      <c r="G116" s="8"/>
      <c r="H116" s="8"/>
      <c r="I116" s="8"/>
      <c r="J116" s="53">
        <f>SUM(RobotGameScores[[#This Row],[Match 1 Score]:[Match 6 Score]])/NumberOfRounds</f>
        <v>0</v>
      </c>
    </row>
    <row r="117" spans="1:10" ht="30" customHeight="1" x14ac:dyDescent="0.25">
      <c r="A117">
        <f>IF(RobotGameScores[[#This Row],[Team Number]]&gt;0,MIN(_xlfn.RANK.EQ(RobotGameScores[[#This Row],[Match Score Average]],RobotGameScores[Match Score Average],0),NumberOfTeams),NumberOfTeams+1)</f>
        <v>9</v>
      </c>
      <c r="B117" s="8">
        <f>_xlfn.XLOOKUP(116,OfficialTeamList[Row],OfficialTeamList[Team Number],"ERROR",0)</f>
        <v>0</v>
      </c>
      <c r="C117" s="20" t="str">
        <f>_xlfn.XLOOKUP(RobotDesignResults[[#This Row],[Team Number]],OfficialTeamList[Team Number],OfficialTeamList[Team Name],"",0,)</f>
        <v/>
      </c>
      <c r="G117" s="8"/>
      <c r="H117" s="8"/>
      <c r="I117" s="8"/>
      <c r="J117" s="53">
        <f>SUM(RobotGameScores[[#This Row],[Match 1 Score]:[Match 6 Score]])/NumberOfRounds</f>
        <v>0</v>
      </c>
    </row>
    <row r="118" spans="1:10" ht="30" customHeight="1" x14ac:dyDescent="0.25">
      <c r="A118">
        <f>IF(RobotGameScores[[#This Row],[Team Number]]&gt;0,MIN(_xlfn.RANK.EQ(RobotGameScores[[#This Row],[Match Score Average]],RobotGameScores[Match Score Average],0),NumberOfTeams),NumberOfTeams+1)</f>
        <v>9</v>
      </c>
      <c r="B118" s="8">
        <f>_xlfn.XLOOKUP(117,OfficialTeamList[Row],OfficialTeamList[Team Number],"ERROR",0)</f>
        <v>0</v>
      </c>
      <c r="C118" s="20" t="str">
        <f>_xlfn.XLOOKUP(RobotDesignResults[[#This Row],[Team Number]],OfficialTeamList[Team Number],OfficialTeamList[Team Name],"",0,)</f>
        <v/>
      </c>
      <c r="G118" s="8"/>
      <c r="H118" s="8"/>
      <c r="I118" s="8"/>
      <c r="J118" s="53">
        <f>SUM(RobotGameScores[[#This Row],[Match 1 Score]:[Match 6 Score]])/NumberOfRounds</f>
        <v>0</v>
      </c>
    </row>
    <row r="119" spans="1:10" ht="30" customHeight="1" x14ac:dyDescent="0.25">
      <c r="A119">
        <f>IF(RobotGameScores[[#This Row],[Team Number]]&gt;0,MIN(_xlfn.RANK.EQ(RobotGameScores[[#This Row],[Match Score Average]],RobotGameScores[Match Score Average],0),NumberOfTeams),NumberOfTeams+1)</f>
        <v>9</v>
      </c>
      <c r="B119" s="8">
        <f>_xlfn.XLOOKUP(118,OfficialTeamList[Row],OfficialTeamList[Team Number],"ERROR",0)</f>
        <v>0</v>
      </c>
      <c r="C119" s="20" t="str">
        <f>_xlfn.XLOOKUP(RobotDesignResults[[#This Row],[Team Number]],OfficialTeamList[Team Number],OfficialTeamList[Team Name],"",0,)</f>
        <v/>
      </c>
      <c r="G119" s="8"/>
      <c r="H119" s="8"/>
      <c r="I119" s="8"/>
      <c r="J119" s="53">
        <f>SUM(RobotGameScores[[#This Row],[Match 1 Score]:[Match 6 Score]])/NumberOfRounds</f>
        <v>0</v>
      </c>
    </row>
    <row r="120" spans="1:10" ht="30" customHeight="1" x14ac:dyDescent="0.25">
      <c r="A120">
        <f>IF(RobotGameScores[[#This Row],[Team Number]]&gt;0,MIN(_xlfn.RANK.EQ(RobotGameScores[[#This Row],[Match Score Average]],RobotGameScores[Match Score Average],0),NumberOfTeams),NumberOfTeams+1)</f>
        <v>9</v>
      </c>
      <c r="B120" s="8">
        <f>_xlfn.XLOOKUP(119,OfficialTeamList[Row],OfficialTeamList[Team Number],"ERROR",0)</f>
        <v>0</v>
      </c>
      <c r="C120" s="20" t="str">
        <f>_xlfn.XLOOKUP(RobotDesignResults[[#This Row],[Team Number]],OfficialTeamList[Team Number],OfficialTeamList[Team Name],"",0,)</f>
        <v/>
      </c>
      <c r="G120" s="8"/>
      <c r="H120" s="8"/>
      <c r="I120" s="8"/>
      <c r="J120" s="53">
        <f>SUM(RobotGameScores[[#This Row],[Match 1 Score]:[Match 6 Score]])/NumberOfRounds</f>
        <v>0</v>
      </c>
    </row>
    <row r="121" spans="1:10" ht="30" customHeight="1" x14ac:dyDescent="0.25">
      <c r="A121">
        <f>IF(RobotGameScores[[#This Row],[Team Number]]&gt;0,MIN(_xlfn.RANK.EQ(RobotGameScores[[#This Row],[Match Score Average]],RobotGameScores[Match Score Average],0),NumberOfTeams),NumberOfTeams+1)</f>
        <v>9</v>
      </c>
      <c r="B121" s="8">
        <f>_xlfn.XLOOKUP(120,OfficialTeamList[Row],OfficialTeamList[Team Number],"ERROR",0)</f>
        <v>0</v>
      </c>
      <c r="C121" s="20" t="str">
        <f>_xlfn.XLOOKUP(RobotDesignResults[[#This Row],[Team Number]],OfficialTeamList[Team Number],OfficialTeamList[Team Name],"",0,)</f>
        <v/>
      </c>
      <c r="G121" s="8"/>
      <c r="H121" s="8"/>
      <c r="I121" s="8"/>
      <c r="J121" s="53">
        <f>SUM(RobotGameScores[[#This Row],[Match 1 Score]:[Match 6 Score]])/NumberOfRounds</f>
        <v>0</v>
      </c>
    </row>
    <row r="122" spans="1:10" ht="30" customHeight="1" x14ac:dyDescent="0.25">
      <c r="A122">
        <f>IF(RobotGameScores[[#This Row],[Team Number]]&gt;0,MIN(_xlfn.RANK.EQ(RobotGameScores[[#This Row],[Match Score Average]],RobotGameScores[Match Score Average],0),NumberOfTeams),NumberOfTeams+1)</f>
        <v>9</v>
      </c>
      <c r="B122" s="8">
        <f>_xlfn.XLOOKUP(121,OfficialTeamList[Row],OfficialTeamList[Team Number],"ERROR",0)</f>
        <v>0</v>
      </c>
      <c r="C122" s="20" t="str">
        <f>_xlfn.XLOOKUP(RobotDesignResults[[#This Row],[Team Number]],OfficialTeamList[Team Number],OfficialTeamList[Team Name],"",0,)</f>
        <v/>
      </c>
      <c r="G122" s="8"/>
      <c r="H122" s="8"/>
      <c r="I122" s="8"/>
      <c r="J122" s="53">
        <f>SUM(RobotGameScores[[#This Row],[Match 1 Score]:[Match 6 Score]])/NumberOfRounds</f>
        <v>0</v>
      </c>
    </row>
    <row r="123" spans="1:10" ht="30" customHeight="1" x14ac:dyDescent="0.25">
      <c r="A123">
        <f>IF(RobotGameScores[[#This Row],[Team Number]]&gt;0,MIN(_xlfn.RANK.EQ(RobotGameScores[[#This Row],[Match Score Average]],RobotGameScores[Match Score Average],0),NumberOfTeams),NumberOfTeams+1)</f>
        <v>9</v>
      </c>
      <c r="B123" s="8">
        <f>_xlfn.XLOOKUP(122,OfficialTeamList[Row],OfficialTeamList[Team Number],"ERROR",0)</f>
        <v>0</v>
      </c>
      <c r="C123" s="20" t="str">
        <f>_xlfn.XLOOKUP(RobotDesignResults[[#This Row],[Team Number]],OfficialTeamList[Team Number],OfficialTeamList[Team Name],"",0,)</f>
        <v/>
      </c>
      <c r="G123" s="8"/>
      <c r="H123" s="8"/>
      <c r="I123" s="8"/>
      <c r="J123" s="53">
        <f>SUM(RobotGameScores[[#This Row],[Match 1 Score]:[Match 6 Score]])/NumberOfRounds</f>
        <v>0</v>
      </c>
    </row>
    <row r="124" spans="1:10" ht="30" customHeight="1" x14ac:dyDescent="0.25">
      <c r="A124">
        <f>IF(RobotGameScores[[#This Row],[Team Number]]&gt;0,MIN(_xlfn.RANK.EQ(RobotGameScores[[#This Row],[Match Score Average]],RobotGameScores[Match Score Average],0),NumberOfTeams),NumberOfTeams+1)</f>
        <v>9</v>
      </c>
      <c r="B124" s="8">
        <f>_xlfn.XLOOKUP(123,OfficialTeamList[Row],OfficialTeamList[Team Number],"ERROR",0)</f>
        <v>0</v>
      </c>
      <c r="C124" s="20" t="str">
        <f>_xlfn.XLOOKUP(RobotDesignResults[[#This Row],[Team Number]],OfficialTeamList[Team Number],OfficialTeamList[Team Name],"",0,)</f>
        <v/>
      </c>
      <c r="G124" s="8"/>
      <c r="H124" s="8"/>
      <c r="I124" s="8"/>
      <c r="J124" s="53">
        <f>SUM(RobotGameScores[[#This Row],[Match 1 Score]:[Match 6 Score]])/NumberOfRounds</f>
        <v>0</v>
      </c>
    </row>
    <row r="125" spans="1:10" ht="30" customHeight="1" x14ac:dyDescent="0.25">
      <c r="A125">
        <f>IF(RobotGameScores[[#This Row],[Team Number]]&gt;0,MIN(_xlfn.RANK.EQ(RobotGameScores[[#This Row],[Match Score Average]],RobotGameScores[Match Score Average],0),NumberOfTeams),NumberOfTeams+1)</f>
        <v>9</v>
      </c>
      <c r="B125" s="8">
        <f>_xlfn.XLOOKUP(124,OfficialTeamList[Row],OfficialTeamList[Team Number],"ERROR",0)</f>
        <v>0</v>
      </c>
      <c r="C125" s="20" t="str">
        <f>_xlfn.XLOOKUP(RobotDesignResults[[#This Row],[Team Number]],OfficialTeamList[Team Number],OfficialTeamList[Team Name],"",0,)</f>
        <v/>
      </c>
      <c r="G125" s="8"/>
      <c r="H125" s="8"/>
      <c r="I125" s="8"/>
      <c r="J125" s="53">
        <f>SUM(RobotGameScores[[#This Row],[Match 1 Score]:[Match 6 Score]])/NumberOfRounds</f>
        <v>0</v>
      </c>
    </row>
    <row r="126" spans="1:10" ht="30" customHeight="1" x14ac:dyDescent="0.25">
      <c r="A126">
        <f>IF(RobotGameScores[[#This Row],[Team Number]]&gt;0,MIN(_xlfn.RANK.EQ(RobotGameScores[[#This Row],[Match Score Average]],RobotGameScores[Match Score Average],0),NumberOfTeams),NumberOfTeams+1)</f>
        <v>9</v>
      </c>
      <c r="B126" s="8">
        <f>_xlfn.XLOOKUP(125,OfficialTeamList[Row],OfficialTeamList[Team Number],"ERROR",0)</f>
        <v>0</v>
      </c>
      <c r="C126" s="20" t="str">
        <f>_xlfn.XLOOKUP(RobotDesignResults[[#This Row],[Team Number]],OfficialTeamList[Team Number],OfficialTeamList[Team Name],"",0,)</f>
        <v/>
      </c>
      <c r="G126" s="8"/>
      <c r="H126" s="8"/>
      <c r="I126" s="8"/>
      <c r="J126" s="53">
        <f>SUM(RobotGameScores[[#This Row],[Match 1 Score]:[Match 6 Score]])/NumberOfRounds</f>
        <v>0</v>
      </c>
    </row>
    <row r="127" spans="1:10" ht="30" customHeight="1" x14ac:dyDescent="0.25">
      <c r="A127">
        <f>IF(RobotGameScores[[#This Row],[Team Number]]&gt;0,MIN(_xlfn.RANK.EQ(RobotGameScores[[#This Row],[Match Score Average]],RobotGameScores[Match Score Average],0),NumberOfTeams),NumberOfTeams+1)</f>
        <v>9</v>
      </c>
      <c r="B127" s="8">
        <f>_xlfn.XLOOKUP(126,OfficialTeamList[Row],OfficialTeamList[Team Number],"ERROR",0)</f>
        <v>0</v>
      </c>
      <c r="C127" s="20" t="str">
        <f>_xlfn.XLOOKUP(RobotDesignResults[[#This Row],[Team Number]],OfficialTeamList[Team Number],OfficialTeamList[Team Name],"",0,)</f>
        <v/>
      </c>
      <c r="G127" s="8"/>
      <c r="H127" s="8"/>
      <c r="I127" s="8"/>
      <c r="J127" s="53">
        <f>SUM(RobotGameScores[[#This Row],[Match 1 Score]:[Match 6 Score]])/NumberOfRounds</f>
        <v>0</v>
      </c>
    </row>
    <row r="128" spans="1:10" ht="30" customHeight="1" x14ac:dyDescent="0.25">
      <c r="A128">
        <f>IF(RobotGameScores[[#This Row],[Team Number]]&gt;0,MIN(_xlfn.RANK.EQ(RobotGameScores[[#This Row],[Match Score Average]],RobotGameScores[Match Score Average],0),NumberOfTeams),NumberOfTeams+1)</f>
        <v>9</v>
      </c>
      <c r="B128" s="8">
        <f>_xlfn.XLOOKUP(127,OfficialTeamList[Row],OfficialTeamList[Team Number],"ERROR",0)</f>
        <v>0</v>
      </c>
      <c r="C128" s="20" t="str">
        <f>_xlfn.XLOOKUP(RobotDesignResults[[#This Row],[Team Number]],OfficialTeamList[Team Number],OfficialTeamList[Team Name],"",0,)</f>
        <v/>
      </c>
      <c r="G128" s="8"/>
      <c r="H128" s="8"/>
      <c r="I128" s="8"/>
      <c r="J128" s="53">
        <f>SUM(RobotGameScores[[#This Row],[Match 1 Score]:[Match 6 Score]])/NumberOfRounds</f>
        <v>0</v>
      </c>
    </row>
    <row r="129" spans="1:10" ht="30" customHeight="1" x14ac:dyDescent="0.25">
      <c r="A129">
        <f>IF(RobotGameScores[[#This Row],[Team Number]]&gt;0,MIN(_xlfn.RANK.EQ(RobotGameScores[[#This Row],[Match Score Average]],RobotGameScores[Match Score Average],0),NumberOfTeams),NumberOfTeams+1)</f>
        <v>9</v>
      </c>
      <c r="B129" s="8">
        <f>_xlfn.XLOOKUP(128,OfficialTeamList[Row],OfficialTeamList[Team Number],"ERROR",0)</f>
        <v>0</v>
      </c>
      <c r="C129" s="20" t="str">
        <f>_xlfn.XLOOKUP(RobotDesignResults[[#This Row],[Team Number]],OfficialTeamList[Team Number],OfficialTeamList[Team Name],"",0,)</f>
        <v/>
      </c>
      <c r="G129" s="8"/>
      <c r="H129" s="8"/>
      <c r="I129" s="8"/>
      <c r="J129" s="53">
        <f>SUM(RobotGameScores[[#This Row],[Match 1 Score]:[Match 6 Score]])/NumberOfRounds</f>
        <v>0</v>
      </c>
    </row>
    <row r="130" spans="1:10" ht="30" customHeight="1" x14ac:dyDescent="0.25">
      <c r="A130">
        <f>IF(RobotGameScores[[#This Row],[Team Number]]&gt;0,MIN(_xlfn.RANK.EQ(RobotGameScores[[#This Row],[Match Score Average]],RobotGameScores[Match Score Average],0),NumberOfTeams),NumberOfTeams+1)</f>
        <v>9</v>
      </c>
      <c r="B130" s="8">
        <f>_xlfn.XLOOKUP(129,OfficialTeamList[Row],OfficialTeamList[Team Number],"ERROR",0)</f>
        <v>0</v>
      </c>
      <c r="C130" s="20" t="str">
        <f>_xlfn.XLOOKUP(RobotDesignResults[[#This Row],[Team Number]],OfficialTeamList[Team Number],OfficialTeamList[Team Name],"",0,)</f>
        <v/>
      </c>
      <c r="G130" s="8"/>
      <c r="H130" s="8"/>
      <c r="I130" s="8"/>
      <c r="J130" s="53">
        <f>SUM(RobotGameScores[[#This Row],[Match 1 Score]:[Match 6 Score]])/NumberOfRounds</f>
        <v>0</v>
      </c>
    </row>
    <row r="131" spans="1:10" ht="30" customHeight="1" x14ac:dyDescent="0.25">
      <c r="A131">
        <f>IF(RobotGameScores[[#This Row],[Team Number]]&gt;0,MIN(_xlfn.RANK.EQ(RobotGameScores[[#This Row],[Match Score Average]],RobotGameScores[Match Score Average],0),NumberOfTeams),NumberOfTeams+1)</f>
        <v>9</v>
      </c>
      <c r="B131" s="8">
        <f>_xlfn.XLOOKUP(130,OfficialTeamList[Row],OfficialTeamList[Team Number],"ERROR",0)</f>
        <v>0</v>
      </c>
      <c r="C131" s="20" t="str">
        <f>_xlfn.XLOOKUP(RobotDesignResults[[#This Row],[Team Number]],OfficialTeamList[Team Number],OfficialTeamList[Team Name],"",0,)</f>
        <v/>
      </c>
      <c r="G131" s="8"/>
      <c r="H131" s="8"/>
      <c r="I131" s="8"/>
      <c r="J131" s="53">
        <f>SUM(RobotGameScores[[#This Row],[Match 1 Score]:[Match 6 Score]])/NumberOfRounds</f>
        <v>0</v>
      </c>
    </row>
    <row r="132" spans="1:10" ht="30" customHeight="1" x14ac:dyDescent="0.25">
      <c r="A132">
        <f>IF(RobotGameScores[[#This Row],[Team Number]]&gt;0,MIN(_xlfn.RANK.EQ(RobotGameScores[[#This Row],[Match Score Average]],RobotGameScores[Match Score Average],0),NumberOfTeams),NumberOfTeams+1)</f>
        <v>9</v>
      </c>
      <c r="B132" s="8">
        <f>_xlfn.XLOOKUP(131,OfficialTeamList[Row],OfficialTeamList[Team Number],"ERROR",0)</f>
        <v>0</v>
      </c>
      <c r="C132" s="20" t="str">
        <f>_xlfn.XLOOKUP(RobotDesignResults[[#This Row],[Team Number]],OfficialTeamList[Team Number],OfficialTeamList[Team Name],"",0,)</f>
        <v/>
      </c>
      <c r="G132" s="8"/>
      <c r="H132" s="8"/>
      <c r="I132" s="8"/>
      <c r="J132" s="53">
        <f>SUM(RobotGameScores[[#This Row],[Match 1 Score]:[Match 6 Score]])/NumberOfRounds</f>
        <v>0</v>
      </c>
    </row>
    <row r="133" spans="1:10" ht="30" customHeight="1" x14ac:dyDescent="0.25">
      <c r="A133">
        <f>IF(RobotGameScores[[#This Row],[Team Number]]&gt;0,MIN(_xlfn.RANK.EQ(RobotGameScores[[#This Row],[Match Score Average]],RobotGameScores[Match Score Average],0),NumberOfTeams),NumberOfTeams+1)</f>
        <v>9</v>
      </c>
      <c r="B133" s="8">
        <f>_xlfn.XLOOKUP(132,OfficialTeamList[Row],OfficialTeamList[Team Number],"ERROR",0)</f>
        <v>0</v>
      </c>
      <c r="C133" s="20" t="str">
        <f>_xlfn.XLOOKUP(RobotDesignResults[[#This Row],[Team Number]],OfficialTeamList[Team Number],OfficialTeamList[Team Name],"",0,)</f>
        <v/>
      </c>
      <c r="G133" s="8"/>
      <c r="H133" s="8"/>
      <c r="I133" s="8"/>
      <c r="J133" s="53">
        <f>SUM(RobotGameScores[[#This Row],[Match 1 Score]:[Match 6 Score]])/NumberOfRounds</f>
        <v>0</v>
      </c>
    </row>
    <row r="134" spans="1:10" ht="30" customHeight="1" x14ac:dyDescent="0.25">
      <c r="A134">
        <f>IF(RobotGameScores[[#This Row],[Team Number]]&gt;0,MIN(_xlfn.RANK.EQ(RobotGameScores[[#This Row],[Match Score Average]],RobotGameScores[Match Score Average],0),NumberOfTeams),NumberOfTeams+1)</f>
        <v>9</v>
      </c>
      <c r="B134" s="8">
        <f>_xlfn.XLOOKUP(133,OfficialTeamList[Row],OfficialTeamList[Team Number],"ERROR",0)</f>
        <v>0</v>
      </c>
      <c r="C134" s="20" t="str">
        <f>_xlfn.XLOOKUP(RobotDesignResults[[#This Row],[Team Number]],OfficialTeamList[Team Number],OfficialTeamList[Team Name],"",0,)</f>
        <v/>
      </c>
      <c r="G134" s="8"/>
      <c r="H134" s="8"/>
      <c r="I134" s="8"/>
      <c r="J134" s="53">
        <f>SUM(RobotGameScores[[#This Row],[Match 1 Score]:[Match 6 Score]])/NumberOfRounds</f>
        <v>0</v>
      </c>
    </row>
    <row r="135" spans="1:10" ht="30" customHeight="1" x14ac:dyDescent="0.25">
      <c r="A135">
        <f>IF(RobotGameScores[[#This Row],[Team Number]]&gt;0,MIN(_xlfn.RANK.EQ(RobotGameScores[[#This Row],[Match Score Average]],RobotGameScores[Match Score Average],0),NumberOfTeams),NumberOfTeams+1)</f>
        <v>9</v>
      </c>
      <c r="B135" s="8">
        <f>_xlfn.XLOOKUP(134,OfficialTeamList[Row],OfficialTeamList[Team Number],"ERROR",0)</f>
        <v>0</v>
      </c>
      <c r="C135" s="20" t="str">
        <f>_xlfn.XLOOKUP(RobotDesignResults[[#This Row],[Team Number]],OfficialTeamList[Team Number],OfficialTeamList[Team Name],"",0,)</f>
        <v/>
      </c>
      <c r="G135" s="8"/>
      <c r="H135" s="8"/>
      <c r="I135" s="8"/>
      <c r="J135" s="53">
        <f>SUM(RobotGameScores[[#This Row],[Match 1 Score]:[Match 6 Score]])/NumberOfRounds</f>
        <v>0</v>
      </c>
    </row>
    <row r="136" spans="1:10" ht="30" customHeight="1" x14ac:dyDescent="0.25">
      <c r="A136">
        <f>IF(RobotGameScores[[#This Row],[Team Number]]&gt;0,MIN(_xlfn.RANK.EQ(RobotGameScores[[#This Row],[Match Score Average]],RobotGameScores[Match Score Average],0),NumberOfTeams),NumberOfTeams+1)</f>
        <v>9</v>
      </c>
      <c r="B136" s="8">
        <f>_xlfn.XLOOKUP(135,OfficialTeamList[Row],OfficialTeamList[Team Number],"ERROR",0)</f>
        <v>0</v>
      </c>
      <c r="C136" s="20" t="str">
        <f>_xlfn.XLOOKUP(RobotDesignResults[[#This Row],[Team Number]],OfficialTeamList[Team Number],OfficialTeamList[Team Name],"",0,)</f>
        <v/>
      </c>
      <c r="G136" s="8"/>
      <c r="H136" s="8"/>
      <c r="I136" s="8"/>
      <c r="J136" s="53">
        <f>SUM(RobotGameScores[[#This Row],[Match 1 Score]:[Match 6 Score]])/NumberOfRounds</f>
        <v>0</v>
      </c>
    </row>
    <row r="137" spans="1:10" ht="30" customHeight="1" x14ac:dyDescent="0.25">
      <c r="A137">
        <f>IF(RobotGameScores[[#This Row],[Team Number]]&gt;0,MIN(_xlfn.RANK.EQ(RobotGameScores[[#This Row],[Match Score Average]],RobotGameScores[Match Score Average],0),NumberOfTeams),NumberOfTeams+1)</f>
        <v>9</v>
      </c>
      <c r="B137" s="8">
        <f>_xlfn.XLOOKUP(136,OfficialTeamList[Row],OfficialTeamList[Team Number],"ERROR",0)</f>
        <v>0</v>
      </c>
      <c r="C137" s="20" t="str">
        <f>_xlfn.XLOOKUP(RobotDesignResults[[#This Row],[Team Number]],OfficialTeamList[Team Number],OfficialTeamList[Team Name],"",0,)</f>
        <v/>
      </c>
      <c r="G137" s="8"/>
      <c r="H137" s="8"/>
      <c r="I137" s="8"/>
      <c r="J137" s="53">
        <f>SUM(RobotGameScores[[#This Row],[Match 1 Score]:[Match 6 Score]])/NumberOfRounds</f>
        <v>0</v>
      </c>
    </row>
    <row r="138" spans="1:10" ht="30" customHeight="1" x14ac:dyDescent="0.25">
      <c r="A138">
        <f>IF(RobotGameScores[[#This Row],[Team Number]]&gt;0,MIN(_xlfn.RANK.EQ(RobotGameScores[[#This Row],[Match Score Average]],RobotGameScores[Match Score Average],0),NumberOfTeams),NumberOfTeams+1)</f>
        <v>9</v>
      </c>
      <c r="B138" s="8">
        <f>_xlfn.XLOOKUP(137,OfficialTeamList[Row],OfficialTeamList[Team Number],"ERROR",0)</f>
        <v>0</v>
      </c>
      <c r="C138" s="20" t="str">
        <f>_xlfn.XLOOKUP(RobotDesignResults[[#This Row],[Team Number]],OfficialTeamList[Team Number],OfficialTeamList[Team Name],"",0,)</f>
        <v/>
      </c>
      <c r="G138" s="8"/>
      <c r="H138" s="8"/>
      <c r="I138" s="8"/>
      <c r="J138" s="53">
        <f>SUM(RobotGameScores[[#This Row],[Match 1 Score]:[Match 6 Score]])/NumberOfRounds</f>
        <v>0</v>
      </c>
    </row>
    <row r="139" spans="1:10" ht="30" customHeight="1" x14ac:dyDescent="0.25">
      <c r="A139">
        <f>IF(RobotGameScores[[#This Row],[Team Number]]&gt;0,MIN(_xlfn.RANK.EQ(RobotGameScores[[#This Row],[Match Score Average]],RobotGameScores[Match Score Average],0),NumberOfTeams),NumberOfTeams+1)</f>
        <v>9</v>
      </c>
      <c r="B139" s="8">
        <f>_xlfn.XLOOKUP(138,OfficialTeamList[Row],OfficialTeamList[Team Number],"ERROR",0)</f>
        <v>0</v>
      </c>
      <c r="C139" s="20" t="str">
        <f>_xlfn.XLOOKUP(RobotDesignResults[[#This Row],[Team Number]],OfficialTeamList[Team Number],OfficialTeamList[Team Name],"",0,)</f>
        <v/>
      </c>
      <c r="G139" s="8"/>
      <c r="H139" s="8"/>
      <c r="I139" s="8"/>
      <c r="J139" s="53">
        <f>SUM(RobotGameScores[[#This Row],[Match 1 Score]:[Match 6 Score]])/NumberOfRounds</f>
        <v>0</v>
      </c>
    </row>
    <row r="140" spans="1:10" ht="30" customHeight="1" x14ac:dyDescent="0.25">
      <c r="A140">
        <f>IF(RobotGameScores[[#This Row],[Team Number]]&gt;0,MIN(_xlfn.RANK.EQ(RobotGameScores[[#This Row],[Match Score Average]],RobotGameScores[Match Score Average],0),NumberOfTeams),NumberOfTeams+1)</f>
        <v>9</v>
      </c>
      <c r="B140" s="8">
        <f>_xlfn.XLOOKUP(139,OfficialTeamList[Row],OfficialTeamList[Team Number],"ERROR",0)</f>
        <v>0</v>
      </c>
      <c r="C140" s="20" t="str">
        <f>_xlfn.XLOOKUP(RobotDesignResults[[#This Row],[Team Number]],OfficialTeamList[Team Number],OfficialTeamList[Team Name],"",0,)</f>
        <v/>
      </c>
      <c r="G140" s="8"/>
      <c r="H140" s="8"/>
      <c r="I140" s="8"/>
      <c r="J140" s="53">
        <f>SUM(RobotGameScores[[#This Row],[Match 1 Score]:[Match 6 Score]])/NumberOfRounds</f>
        <v>0</v>
      </c>
    </row>
    <row r="141" spans="1:10" ht="30" customHeight="1" x14ac:dyDescent="0.25">
      <c r="A141">
        <f>IF(RobotGameScores[[#This Row],[Team Number]]&gt;0,MIN(_xlfn.RANK.EQ(RobotGameScores[[#This Row],[Match Score Average]],RobotGameScores[Match Score Average],0),NumberOfTeams),NumberOfTeams+1)</f>
        <v>9</v>
      </c>
      <c r="B141" s="8">
        <f>_xlfn.XLOOKUP(140,OfficialTeamList[Row],OfficialTeamList[Team Number],"ERROR",0)</f>
        <v>0</v>
      </c>
      <c r="C141" s="20" t="str">
        <f>_xlfn.XLOOKUP(RobotDesignResults[[#This Row],[Team Number]],OfficialTeamList[Team Number],OfficialTeamList[Team Name],"",0,)</f>
        <v/>
      </c>
      <c r="G141" s="8"/>
      <c r="H141" s="8"/>
      <c r="I141" s="8"/>
      <c r="J141" s="53">
        <f>SUM(RobotGameScores[[#This Row],[Match 1 Score]:[Match 6 Score]])/NumberOfRounds</f>
        <v>0</v>
      </c>
    </row>
    <row r="142" spans="1:10" ht="30" customHeight="1" x14ac:dyDescent="0.25">
      <c r="A142">
        <f>IF(RobotGameScores[[#This Row],[Team Number]]&gt;0,MIN(_xlfn.RANK.EQ(RobotGameScores[[#This Row],[Match Score Average]],RobotGameScores[Match Score Average],0),NumberOfTeams),NumberOfTeams+1)</f>
        <v>9</v>
      </c>
      <c r="B142" s="8">
        <f>_xlfn.XLOOKUP(141,OfficialTeamList[Row],OfficialTeamList[Team Number],"ERROR",0)</f>
        <v>0</v>
      </c>
      <c r="C142" s="20" t="str">
        <f>_xlfn.XLOOKUP(RobotDesignResults[[#This Row],[Team Number]],OfficialTeamList[Team Number],OfficialTeamList[Team Name],"",0,)</f>
        <v/>
      </c>
      <c r="G142" s="8"/>
      <c r="H142" s="8"/>
      <c r="I142" s="8"/>
      <c r="J142" s="53">
        <f>SUM(RobotGameScores[[#This Row],[Match 1 Score]:[Match 6 Score]])/NumberOfRounds</f>
        <v>0</v>
      </c>
    </row>
    <row r="143" spans="1:10" ht="30" customHeight="1" x14ac:dyDescent="0.25">
      <c r="A143">
        <f>IF(RobotGameScores[[#This Row],[Team Number]]&gt;0,MIN(_xlfn.RANK.EQ(RobotGameScores[[#This Row],[Match Score Average]],RobotGameScores[Match Score Average],0),NumberOfTeams),NumberOfTeams+1)</f>
        <v>9</v>
      </c>
      <c r="B143" s="8">
        <f>_xlfn.XLOOKUP(142,OfficialTeamList[Row],OfficialTeamList[Team Number],"ERROR",0)</f>
        <v>0</v>
      </c>
      <c r="C143" s="20" t="str">
        <f>_xlfn.XLOOKUP(RobotDesignResults[[#This Row],[Team Number]],OfficialTeamList[Team Number],OfficialTeamList[Team Name],"",0,)</f>
        <v/>
      </c>
      <c r="G143" s="8"/>
      <c r="H143" s="8"/>
      <c r="I143" s="8"/>
      <c r="J143" s="53">
        <f>SUM(RobotGameScores[[#This Row],[Match 1 Score]:[Match 6 Score]])/NumberOfRounds</f>
        <v>0</v>
      </c>
    </row>
    <row r="144" spans="1:10" ht="30" customHeight="1" x14ac:dyDescent="0.25">
      <c r="A144">
        <f>IF(RobotGameScores[[#This Row],[Team Number]]&gt;0,MIN(_xlfn.RANK.EQ(RobotGameScores[[#This Row],[Match Score Average]],RobotGameScores[Match Score Average],0),NumberOfTeams),NumberOfTeams+1)</f>
        <v>9</v>
      </c>
      <c r="B144" s="8">
        <f>_xlfn.XLOOKUP(143,OfficialTeamList[Row],OfficialTeamList[Team Number],"ERROR",0)</f>
        <v>0</v>
      </c>
      <c r="C144" s="20" t="str">
        <f>_xlfn.XLOOKUP(RobotDesignResults[[#This Row],[Team Number]],OfficialTeamList[Team Number],OfficialTeamList[Team Name],"",0,)</f>
        <v/>
      </c>
      <c r="G144" s="8"/>
      <c r="H144" s="8"/>
      <c r="I144" s="8"/>
      <c r="J144" s="53">
        <f>SUM(RobotGameScores[[#This Row],[Match 1 Score]:[Match 6 Score]])/NumberOfRounds</f>
        <v>0</v>
      </c>
    </row>
    <row r="145" spans="1:10" ht="30" customHeight="1" x14ac:dyDescent="0.25">
      <c r="A145">
        <f>IF(RobotGameScores[[#This Row],[Team Number]]&gt;0,MIN(_xlfn.RANK.EQ(RobotGameScores[[#This Row],[Match Score Average]],RobotGameScores[Match Score Average],0),NumberOfTeams),NumberOfTeams+1)</f>
        <v>9</v>
      </c>
      <c r="B145" s="8">
        <f>_xlfn.XLOOKUP(144,OfficialTeamList[Row],OfficialTeamList[Team Number],"ERROR",0)</f>
        <v>0</v>
      </c>
      <c r="C145" s="20" t="str">
        <f>_xlfn.XLOOKUP(RobotDesignResults[[#This Row],[Team Number]],OfficialTeamList[Team Number],OfficialTeamList[Team Name],"",0,)</f>
        <v/>
      </c>
      <c r="G145" s="8"/>
      <c r="H145" s="8"/>
      <c r="I145" s="8"/>
      <c r="J145" s="53">
        <f>SUM(RobotGameScores[[#This Row],[Match 1 Score]:[Match 6 Score]])/NumberOfRounds</f>
        <v>0</v>
      </c>
    </row>
    <row r="146" spans="1:10" ht="30" customHeight="1" x14ac:dyDescent="0.25">
      <c r="A146">
        <f>IF(RobotGameScores[[#This Row],[Team Number]]&gt;0,MIN(_xlfn.RANK.EQ(RobotGameScores[[#This Row],[Match Score Average]],RobotGameScores[Match Score Average],0),NumberOfTeams),NumberOfTeams+1)</f>
        <v>9</v>
      </c>
      <c r="B146" s="8">
        <f>_xlfn.XLOOKUP(145,OfficialTeamList[Row],OfficialTeamList[Team Number],"ERROR",0)</f>
        <v>0</v>
      </c>
      <c r="C146" s="20" t="str">
        <f>_xlfn.XLOOKUP(RobotDesignResults[[#This Row],[Team Number]],OfficialTeamList[Team Number],OfficialTeamList[Team Name],"",0,)</f>
        <v/>
      </c>
      <c r="G146" s="8"/>
      <c r="H146" s="8"/>
      <c r="I146" s="8"/>
      <c r="J146" s="53">
        <f>SUM(RobotGameScores[[#This Row],[Match 1 Score]:[Match 6 Score]])/NumberOfRounds</f>
        <v>0</v>
      </c>
    </row>
    <row r="147" spans="1:10" ht="30" customHeight="1" x14ac:dyDescent="0.25">
      <c r="A147">
        <f>IF(RobotGameScores[[#This Row],[Team Number]]&gt;0,MIN(_xlfn.RANK.EQ(RobotGameScores[[#This Row],[Match Score Average]],RobotGameScores[Match Score Average],0),NumberOfTeams),NumberOfTeams+1)</f>
        <v>9</v>
      </c>
      <c r="B147" s="8">
        <f>_xlfn.XLOOKUP(146,OfficialTeamList[Row],OfficialTeamList[Team Number],"ERROR",0)</f>
        <v>0</v>
      </c>
      <c r="C147" s="20" t="str">
        <f>_xlfn.XLOOKUP(RobotDesignResults[[#This Row],[Team Number]],OfficialTeamList[Team Number],OfficialTeamList[Team Name],"",0,)</f>
        <v/>
      </c>
      <c r="G147" s="8"/>
      <c r="H147" s="8"/>
      <c r="I147" s="8"/>
      <c r="J147" s="53">
        <f>SUM(RobotGameScores[[#This Row],[Match 1 Score]:[Match 6 Score]])/NumberOfRounds</f>
        <v>0</v>
      </c>
    </row>
    <row r="148" spans="1:10" ht="30" customHeight="1" x14ac:dyDescent="0.25">
      <c r="A148">
        <f>IF(RobotGameScores[[#This Row],[Team Number]]&gt;0,MIN(_xlfn.RANK.EQ(RobotGameScores[[#This Row],[Match Score Average]],RobotGameScores[Match Score Average],0),NumberOfTeams),NumberOfTeams+1)</f>
        <v>9</v>
      </c>
      <c r="B148" s="8">
        <f>_xlfn.XLOOKUP(147,OfficialTeamList[Row],OfficialTeamList[Team Number],"ERROR",0)</f>
        <v>0</v>
      </c>
      <c r="C148" s="20" t="str">
        <f>_xlfn.XLOOKUP(RobotDesignResults[[#This Row],[Team Number]],OfficialTeamList[Team Number],OfficialTeamList[Team Name],"",0,)</f>
        <v/>
      </c>
      <c r="G148" s="8"/>
      <c r="H148" s="8"/>
      <c r="I148" s="8"/>
      <c r="J148" s="53">
        <f>SUM(RobotGameScores[[#This Row],[Match 1 Score]:[Match 6 Score]])/NumberOfRounds</f>
        <v>0</v>
      </c>
    </row>
    <row r="149" spans="1:10" ht="30" customHeight="1" x14ac:dyDescent="0.25">
      <c r="A149">
        <f>IF(RobotGameScores[[#This Row],[Team Number]]&gt;0,MIN(_xlfn.RANK.EQ(RobotGameScores[[#This Row],[Match Score Average]],RobotGameScores[Match Score Average],0),NumberOfTeams),NumberOfTeams+1)</f>
        <v>9</v>
      </c>
      <c r="B149" s="8">
        <f>_xlfn.XLOOKUP(148,OfficialTeamList[Row],OfficialTeamList[Team Number],"ERROR",0)</f>
        <v>0</v>
      </c>
      <c r="C149" s="20" t="str">
        <f>_xlfn.XLOOKUP(RobotDesignResults[[#This Row],[Team Number]],OfficialTeamList[Team Number],OfficialTeamList[Team Name],"",0,)</f>
        <v/>
      </c>
      <c r="G149" s="8"/>
      <c r="H149" s="8"/>
      <c r="I149" s="8"/>
      <c r="J149" s="53">
        <f>SUM(RobotGameScores[[#This Row],[Match 1 Score]:[Match 6 Score]])/NumberOfRounds</f>
        <v>0</v>
      </c>
    </row>
    <row r="150" spans="1:10" ht="30" customHeight="1" x14ac:dyDescent="0.25">
      <c r="A150">
        <f>IF(RobotGameScores[[#This Row],[Team Number]]&gt;0,MIN(_xlfn.RANK.EQ(RobotGameScores[[#This Row],[Match Score Average]],RobotGameScores[Match Score Average],0),NumberOfTeams),NumberOfTeams+1)</f>
        <v>9</v>
      </c>
      <c r="B150" s="8">
        <f>_xlfn.XLOOKUP(149,OfficialTeamList[Row],OfficialTeamList[Team Number],"ERROR",0)</f>
        <v>0</v>
      </c>
      <c r="C150" s="20" t="str">
        <f>_xlfn.XLOOKUP(RobotDesignResults[[#This Row],[Team Number]],OfficialTeamList[Team Number],OfficialTeamList[Team Name],"",0,)</f>
        <v/>
      </c>
      <c r="G150" s="8"/>
      <c r="H150" s="8"/>
      <c r="I150" s="8"/>
      <c r="J150" s="53">
        <f>SUM(RobotGameScores[[#This Row],[Match 1 Score]:[Match 6 Score]])/NumberOfRounds</f>
        <v>0</v>
      </c>
    </row>
    <row r="151" spans="1:10" ht="30" customHeight="1" x14ac:dyDescent="0.25">
      <c r="A151">
        <f>IF(RobotGameScores[[#This Row],[Team Number]]&gt;0,MIN(_xlfn.RANK.EQ(RobotGameScores[[#This Row],[Match Score Average]],RobotGameScores[Match Score Average],0),NumberOfTeams),NumberOfTeams+1)</f>
        <v>9</v>
      </c>
      <c r="B151" s="8">
        <f>_xlfn.XLOOKUP(150,OfficialTeamList[Row],OfficialTeamList[Team Number],"ERROR",0)</f>
        <v>0</v>
      </c>
      <c r="C151" s="20" t="str">
        <f>_xlfn.XLOOKUP(RobotDesignResults[[#This Row],[Team Number]],OfficialTeamList[Team Number],OfficialTeamList[Team Name],"",0,)</f>
        <v/>
      </c>
      <c r="G151" s="8"/>
      <c r="H151" s="8"/>
      <c r="I151" s="8"/>
      <c r="J151" s="53">
        <f>SUM(RobotGameScores[[#This Row],[Match 1 Score]:[Match 6 Score]])/NumberOfRounds</f>
        <v>0</v>
      </c>
    </row>
    <row r="152" spans="1:10" ht="30" customHeight="1" x14ac:dyDescent="0.25">
      <c r="A152">
        <f>IF(RobotGameScores[[#This Row],[Team Number]]&gt;0,MIN(_xlfn.RANK.EQ(RobotGameScores[[#This Row],[Match Score Average]],RobotGameScores[Match Score Average],0),NumberOfTeams),NumberOfTeams+1)</f>
        <v>9</v>
      </c>
      <c r="B152" s="8">
        <f>_xlfn.XLOOKUP(151,OfficialTeamList[Row],OfficialTeamList[Team Number],"ERROR",0)</f>
        <v>0</v>
      </c>
      <c r="C152" s="20" t="str">
        <f>_xlfn.XLOOKUP(RobotDesignResults[[#This Row],[Team Number]],OfficialTeamList[Team Number],OfficialTeamList[Team Name],"",0,)</f>
        <v/>
      </c>
      <c r="G152" s="8"/>
      <c r="H152" s="8"/>
      <c r="I152" s="8"/>
      <c r="J152" s="53">
        <f>SUM(RobotGameScores[[#This Row],[Match 1 Score]:[Match 6 Score]])/NumberOfRounds</f>
        <v>0</v>
      </c>
    </row>
    <row r="153" spans="1:10" ht="30" customHeight="1" x14ac:dyDescent="0.25">
      <c r="A153">
        <f>IF(RobotGameScores[[#This Row],[Team Number]]&gt;0,MIN(_xlfn.RANK.EQ(RobotGameScores[[#This Row],[Match Score Average]],RobotGameScores[Match Score Average],0),NumberOfTeams),NumberOfTeams+1)</f>
        <v>9</v>
      </c>
      <c r="B153" s="8">
        <f>_xlfn.XLOOKUP(152,OfficialTeamList[Row],OfficialTeamList[Team Number],"ERROR",0)</f>
        <v>0</v>
      </c>
      <c r="C153" s="20" t="str">
        <f>_xlfn.XLOOKUP(RobotDesignResults[[#This Row],[Team Number]],OfficialTeamList[Team Number],OfficialTeamList[Team Name],"",0,)</f>
        <v/>
      </c>
      <c r="G153" s="8"/>
      <c r="H153" s="8"/>
      <c r="I153" s="8"/>
      <c r="J153" s="53">
        <f>SUM(RobotGameScores[[#This Row],[Match 1 Score]:[Match 6 Score]])/NumberOfRounds</f>
        <v>0</v>
      </c>
    </row>
    <row r="154" spans="1:10" ht="30" customHeight="1" x14ac:dyDescent="0.25">
      <c r="A154">
        <f>IF(RobotGameScores[[#This Row],[Team Number]]&gt;0,MIN(_xlfn.RANK.EQ(RobotGameScores[[#This Row],[Match Score Average]],RobotGameScores[Match Score Average],0),NumberOfTeams),NumberOfTeams+1)</f>
        <v>9</v>
      </c>
      <c r="B154" s="8">
        <f>_xlfn.XLOOKUP(153,OfficialTeamList[Row],OfficialTeamList[Team Number],"ERROR",0)</f>
        <v>0</v>
      </c>
      <c r="C154" s="20" t="str">
        <f>_xlfn.XLOOKUP(RobotDesignResults[[#This Row],[Team Number]],OfficialTeamList[Team Number],OfficialTeamList[Team Name],"",0,)</f>
        <v/>
      </c>
      <c r="G154" s="8"/>
      <c r="H154" s="8"/>
      <c r="I154" s="8"/>
      <c r="J154" s="53">
        <f>SUM(RobotGameScores[[#This Row],[Match 1 Score]:[Match 6 Score]])/NumberOfRounds</f>
        <v>0</v>
      </c>
    </row>
    <row r="155" spans="1:10" ht="30" customHeight="1" x14ac:dyDescent="0.25">
      <c r="A155">
        <f>IF(RobotGameScores[[#This Row],[Team Number]]&gt;0,MIN(_xlfn.RANK.EQ(RobotGameScores[[#This Row],[Match Score Average]],RobotGameScores[Match Score Average],0),NumberOfTeams),NumberOfTeams+1)</f>
        <v>9</v>
      </c>
      <c r="B155" s="8">
        <f>_xlfn.XLOOKUP(154,OfficialTeamList[Row],OfficialTeamList[Team Number],"ERROR",0)</f>
        <v>0</v>
      </c>
      <c r="C155" s="20" t="str">
        <f>_xlfn.XLOOKUP(RobotDesignResults[[#This Row],[Team Number]],OfficialTeamList[Team Number],OfficialTeamList[Team Name],"",0,)</f>
        <v/>
      </c>
      <c r="G155" s="8"/>
      <c r="H155" s="8"/>
      <c r="I155" s="8"/>
      <c r="J155" s="53">
        <f>SUM(RobotGameScores[[#This Row],[Match 1 Score]:[Match 6 Score]])/NumberOfRounds</f>
        <v>0</v>
      </c>
    </row>
    <row r="156" spans="1:10" ht="30" customHeight="1" x14ac:dyDescent="0.25">
      <c r="A156">
        <f>IF(RobotGameScores[[#This Row],[Team Number]]&gt;0,MIN(_xlfn.RANK.EQ(RobotGameScores[[#This Row],[Match Score Average]],RobotGameScores[Match Score Average],0),NumberOfTeams),NumberOfTeams+1)</f>
        <v>9</v>
      </c>
      <c r="B156" s="8">
        <f>_xlfn.XLOOKUP(155,OfficialTeamList[Row],OfficialTeamList[Team Number],"ERROR",0)</f>
        <v>0</v>
      </c>
      <c r="C156" s="20" t="str">
        <f>_xlfn.XLOOKUP(RobotDesignResults[[#This Row],[Team Number]],OfficialTeamList[Team Number],OfficialTeamList[Team Name],"",0,)</f>
        <v/>
      </c>
      <c r="G156" s="8"/>
      <c r="H156" s="8"/>
      <c r="I156" s="8"/>
      <c r="J156" s="53">
        <f>SUM(RobotGameScores[[#This Row],[Match 1 Score]:[Match 6 Score]])/NumberOfRounds</f>
        <v>0</v>
      </c>
    </row>
    <row r="157" spans="1:10" ht="30" customHeight="1" x14ac:dyDescent="0.25">
      <c r="A157">
        <f>IF(RobotGameScores[[#This Row],[Team Number]]&gt;0,MIN(_xlfn.RANK.EQ(RobotGameScores[[#This Row],[Match Score Average]],RobotGameScores[Match Score Average],0),NumberOfTeams),NumberOfTeams+1)</f>
        <v>9</v>
      </c>
      <c r="B157" s="8">
        <f>_xlfn.XLOOKUP(156,OfficialTeamList[Row],OfficialTeamList[Team Number],"ERROR",0)</f>
        <v>0</v>
      </c>
      <c r="C157" s="20" t="str">
        <f>_xlfn.XLOOKUP(RobotDesignResults[[#This Row],[Team Number]],OfficialTeamList[Team Number],OfficialTeamList[Team Name],"",0,)</f>
        <v/>
      </c>
      <c r="G157" s="8"/>
      <c r="H157" s="8"/>
      <c r="I157" s="8"/>
      <c r="J157" s="53">
        <f>SUM(RobotGameScores[[#This Row],[Match 1 Score]:[Match 6 Score]])/NumberOfRounds</f>
        <v>0</v>
      </c>
    </row>
    <row r="158" spans="1:10" ht="30" customHeight="1" x14ac:dyDescent="0.25">
      <c r="A158">
        <f>IF(RobotGameScores[[#This Row],[Team Number]]&gt;0,MIN(_xlfn.RANK.EQ(RobotGameScores[[#This Row],[Match Score Average]],RobotGameScores[Match Score Average],0),NumberOfTeams),NumberOfTeams+1)</f>
        <v>9</v>
      </c>
      <c r="B158" s="8">
        <f>_xlfn.XLOOKUP(157,OfficialTeamList[Row],OfficialTeamList[Team Number],"ERROR",0)</f>
        <v>0</v>
      </c>
      <c r="C158" s="20" t="str">
        <f>_xlfn.XLOOKUP(RobotDesignResults[[#This Row],[Team Number]],OfficialTeamList[Team Number],OfficialTeamList[Team Name],"",0,)</f>
        <v/>
      </c>
      <c r="G158" s="8"/>
      <c r="H158" s="8"/>
      <c r="I158" s="8"/>
      <c r="J158" s="53">
        <f>SUM(RobotGameScores[[#This Row],[Match 1 Score]:[Match 6 Score]])/NumberOfRounds</f>
        <v>0</v>
      </c>
    </row>
    <row r="159" spans="1:10" ht="30" customHeight="1" x14ac:dyDescent="0.25">
      <c r="A159">
        <f>IF(RobotGameScores[[#This Row],[Team Number]]&gt;0,MIN(_xlfn.RANK.EQ(RobotGameScores[[#This Row],[Match Score Average]],RobotGameScores[Match Score Average],0),NumberOfTeams),NumberOfTeams+1)</f>
        <v>9</v>
      </c>
      <c r="B159" s="8">
        <f>_xlfn.XLOOKUP(158,OfficialTeamList[Row],OfficialTeamList[Team Number],"ERROR",0)</f>
        <v>0</v>
      </c>
      <c r="C159" s="20" t="str">
        <f>_xlfn.XLOOKUP(RobotDesignResults[[#This Row],[Team Number]],OfficialTeamList[Team Number],OfficialTeamList[Team Name],"",0,)</f>
        <v/>
      </c>
      <c r="G159" s="8"/>
      <c r="H159" s="8"/>
      <c r="I159" s="8"/>
      <c r="J159" s="53">
        <f>SUM(RobotGameScores[[#This Row],[Match 1 Score]:[Match 6 Score]])/NumberOfRounds</f>
        <v>0</v>
      </c>
    </row>
    <row r="160" spans="1:10" ht="30" customHeight="1" x14ac:dyDescent="0.25">
      <c r="A160">
        <f>IF(RobotGameScores[[#This Row],[Team Number]]&gt;0,MIN(_xlfn.RANK.EQ(RobotGameScores[[#This Row],[Match Score Average]],RobotGameScores[Match Score Average],0),NumberOfTeams),NumberOfTeams+1)</f>
        <v>9</v>
      </c>
      <c r="B160" s="8">
        <f>_xlfn.XLOOKUP(159,OfficialTeamList[Row],OfficialTeamList[Team Number],"ERROR",0)</f>
        <v>0</v>
      </c>
      <c r="C160" s="20" t="str">
        <f>_xlfn.XLOOKUP(RobotDesignResults[[#This Row],[Team Number]],OfficialTeamList[Team Number],OfficialTeamList[Team Name],"",0,)</f>
        <v/>
      </c>
      <c r="G160" s="8"/>
      <c r="H160" s="8"/>
      <c r="I160" s="8"/>
      <c r="J160" s="53">
        <f>SUM(RobotGameScores[[#This Row],[Match 1 Score]:[Match 6 Score]])/NumberOfRounds</f>
        <v>0</v>
      </c>
    </row>
    <row r="161" spans="1:10" ht="30" customHeight="1" x14ac:dyDescent="0.25">
      <c r="A161">
        <f>IF(RobotGameScores[[#This Row],[Team Number]]&gt;0,MIN(_xlfn.RANK.EQ(RobotGameScores[[#This Row],[Match Score Average]],RobotGameScores[Match Score Average],0),NumberOfTeams),NumberOfTeams+1)</f>
        <v>9</v>
      </c>
      <c r="B161" s="8">
        <f>_xlfn.XLOOKUP(160,OfficialTeamList[Row],OfficialTeamList[Team Number],"ERROR",0)</f>
        <v>0</v>
      </c>
      <c r="C161" s="20" t="str">
        <f>_xlfn.XLOOKUP(RobotDesignResults[[#This Row],[Team Number]],OfficialTeamList[Team Number],OfficialTeamList[Team Name],"",0,)</f>
        <v/>
      </c>
      <c r="G161" s="8"/>
      <c r="H161" s="8"/>
      <c r="I161" s="8"/>
      <c r="J161" s="53">
        <f>SUM(RobotGameScores[[#This Row],[Match 1 Score]:[Match 6 Score]])/NumberOfRounds</f>
        <v>0</v>
      </c>
    </row>
    <row r="162" spans="1:10" ht="30" customHeight="1" x14ac:dyDescent="0.25">
      <c r="A162">
        <f>IF(RobotGameScores[[#This Row],[Team Number]]&gt;0,MIN(_xlfn.RANK.EQ(RobotGameScores[[#This Row],[Match Score Average]],RobotGameScores[Match Score Average],0),NumberOfTeams),NumberOfTeams+1)</f>
        <v>9</v>
      </c>
      <c r="B162" s="8">
        <f>_xlfn.XLOOKUP(161,OfficialTeamList[Row],OfficialTeamList[Team Number],"ERROR",0)</f>
        <v>0</v>
      </c>
      <c r="C162" s="20" t="str">
        <f>_xlfn.XLOOKUP(RobotDesignResults[[#This Row],[Team Number]],OfficialTeamList[Team Number],OfficialTeamList[Team Name],"",0,)</f>
        <v/>
      </c>
      <c r="G162" s="8"/>
      <c r="H162" s="8"/>
      <c r="I162" s="8"/>
      <c r="J162" s="53">
        <f>SUM(RobotGameScores[[#This Row],[Match 1 Score]:[Match 6 Score]])/NumberOfRounds</f>
        <v>0</v>
      </c>
    </row>
    <row r="163" spans="1:10" ht="30" customHeight="1" x14ac:dyDescent="0.25">
      <c r="A163">
        <f>IF(RobotGameScores[[#This Row],[Team Number]]&gt;0,MIN(_xlfn.RANK.EQ(RobotGameScores[[#This Row],[Match Score Average]],RobotGameScores[Match Score Average],0),NumberOfTeams),NumberOfTeams+1)</f>
        <v>9</v>
      </c>
      <c r="B163" s="8">
        <f>_xlfn.XLOOKUP(162,OfficialTeamList[Row],OfficialTeamList[Team Number],"ERROR",0)</f>
        <v>0</v>
      </c>
      <c r="C163" s="20" t="str">
        <f>_xlfn.XLOOKUP(RobotDesignResults[[#This Row],[Team Number]],OfficialTeamList[Team Number],OfficialTeamList[Team Name],"",0,)</f>
        <v/>
      </c>
      <c r="G163" s="8"/>
      <c r="H163" s="8"/>
      <c r="I163" s="8"/>
      <c r="J163" s="53">
        <f>SUM(RobotGameScores[[#This Row],[Match 1 Score]:[Match 6 Score]])/NumberOfRounds</f>
        <v>0</v>
      </c>
    </row>
    <row r="164" spans="1:10" ht="30" customHeight="1" x14ac:dyDescent="0.25">
      <c r="A164">
        <f>IF(RobotGameScores[[#This Row],[Team Number]]&gt;0,MIN(_xlfn.RANK.EQ(RobotGameScores[[#This Row],[Match Score Average]],RobotGameScores[Match Score Average],0),NumberOfTeams),NumberOfTeams+1)</f>
        <v>9</v>
      </c>
      <c r="B164" s="8">
        <f>_xlfn.XLOOKUP(163,OfficialTeamList[Row],OfficialTeamList[Team Number],"ERROR",0)</f>
        <v>0</v>
      </c>
      <c r="C164" s="20" t="str">
        <f>_xlfn.XLOOKUP(RobotDesignResults[[#This Row],[Team Number]],OfficialTeamList[Team Number],OfficialTeamList[Team Name],"",0,)</f>
        <v/>
      </c>
      <c r="G164" s="8"/>
      <c r="H164" s="8"/>
      <c r="I164" s="8"/>
      <c r="J164" s="53">
        <f>SUM(RobotGameScores[[#This Row],[Match 1 Score]:[Match 6 Score]])/NumberOfRounds</f>
        <v>0</v>
      </c>
    </row>
    <row r="165" spans="1:10" ht="30" customHeight="1" x14ac:dyDescent="0.25">
      <c r="A165">
        <f>IF(RobotGameScores[[#This Row],[Team Number]]&gt;0,MIN(_xlfn.RANK.EQ(RobotGameScores[[#This Row],[Match Score Average]],RobotGameScores[Match Score Average],0),NumberOfTeams),NumberOfTeams+1)</f>
        <v>9</v>
      </c>
      <c r="B165" s="8">
        <f>_xlfn.XLOOKUP(164,OfficialTeamList[Row],OfficialTeamList[Team Number],"ERROR",0)</f>
        <v>0</v>
      </c>
      <c r="C165" s="20" t="str">
        <f>_xlfn.XLOOKUP(RobotDesignResults[[#This Row],[Team Number]],OfficialTeamList[Team Number],OfficialTeamList[Team Name],"",0,)</f>
        <v/>
      </c>
      <c r="G165" s="8"/>
      <c r="H165" s="8"/>
      <c r="I165" s="8"/>
      <c r="J165" s="53">
        <f>SUM(RobotGameScores[[#This Row],[Match 1 Score]:[Match 6 Score]])/NumberOfRounds</f>
        <v>0</v>
      </c>
    </row>
    <row r="166" spans="1:10" ht="30" customHeight="1" x14ac:dyDescent="0.25">
      <c r="A166">
        <f>IF(RobotGameScores[[#This Row],[Team Number]]&gt;0,MIN(_xlfn.RANK.EQ(RobotGameScores[[#This Row],[Match Score Average]],RobotGameScores[Match Score Average],0),NumberOfTeams),NumberOfTeams+1)</f>
        <v>9</v>
      </c>
      <c r="B166" s="8">
        <f>_xlfn.XLOOKUP(165,OfficialTeamList[Row],OfficialTeamList[Team Number],"ERROR",0)</f>
        <v>0</v>
      </c>
      <c r="C166" s="20" t="str">
        <f>_xlfn.XLOOKUP(RobotDesignResults[[#This Row],[Team Number]],OfficialTeamList[Team Number],OfficialTeamList[Team Name],"",0,)</f>
        <v/>
      </c>
      <c r="G166" s="8"/>
      <c r="H166" s="8"/>
      <c r="I166" s="8"/>
      <c r="J166" s="53">
        <f>SUM(RobotGameScores[[#This Row],[Match 1 Score]:[Match 6 Score]])/NumberOfRounds</f>
        <v>0</v>
      </c>
    </row>
    <row r="167" spans="1:10" ht="30" customHeight="1" x14ac:dyDescent="0.25">
      <c r="A167">
        <f>IF(RobotGameScores[[#This Row],[Team Number]]&gt;0,MIN(_xlfn.RANK.EQ(RobotGameScores[[#This Row],[Match Score Average]],RobotGameScores[Match Score Average],0),NumberOfTeams),NumberOfTeams+1)</f>
        <v>9</v>
      </c>
      <c r="B167" s="8">
        <f>_xlfn.XLOOKUP(166,OfficialTeamList[Row],OfficialTeamList[Team Number],"ERROR",0)</f>
        <v>0</v>
      </c>
      <c r="C167" s="20" t="str">
        <f>_xlfn.XLOOKUP(RobotDesignResults[[#This Row],[Team Number]],OfficialTeamList[Team Number],OfficialTeamList[Team Name],"",0,)</f>
        <v/>
      </c>
      <c r="G167" s="8"/>
      <c r="H167" s="8"/>
      <c r="I167" s="8"/>
      <c r="J167" s="53">
        <f>SUM(RobotGameScores[[#This Row],[Match 1 Score]:[Match 6 Score]])/NumberOfRounds</f>
        <v>0</v>
      </c>
    </row>
    <row r="168" spans="1:10" ht="30" customHeight="1" x14ac:dyDescent="0.25">
      <c r="A168">
        <f>IF(RobotGameScores[[#This Row],[Team Number]]&gt;0,MIN(_xlfn.RANK.EQ(RobotGameScores[[#This Row],[Match Score Average]],RobotGameScores[Match Score Average],0),NumberOfTeams),NumberOfTeams+1)</f>
        <v>9</v>
      </c>
      <c r="B168" s="8">
        <f>_xlfn.XLOOKUP(167,OfficialTeamList[Row],OfficialTeamList[Team Number],"ERROR",0)</f>
        <v>0</v>
      </c>
      <c r="C168" s="20" t="str">
        <f>_xlfn.XLOOKUP(RobotDesignResults[[#This Row],[Team Number]],OfficialTeamList[Team Number],OfficialTeamList[Team Name],"",0,)</f>
        <v/>
      </c>
      <c r="G168" s="8"/>
      <c r="H168" s="8"/>
      <c r="I168" s="8"/>
      <c r="J168" s="53">
        <f>SUM(RobotGameScores[[#This Row],[Match 1 Score]:[Match 6 Score]])/NumberOfRounds</f>
        <v>0</v>
      </c>
    </row>
    <row r="169" spans="1:10" ht="30" customHeight="1" x14ac:dyDescent="0.25">
      <c r="A169">
        <f>IF(RobotGameScores[[#This Row],[Team Number]]&gt;0,MIN(_xlfn.RANK.EQ(RobotGameScores[[#This Row],[Match Score Average]],RobotGameScores[Match Score Average],0),NumberOfTeams),NumberOfTeams+1)</f>
        <v>9</v>
      </c>
      <c r="B169" s="8">
        <f>_xlfn.XLOOKUP(168,OfficialTeamList[Row],OfficialTeamList[Team Number],"ERROR",0)</f>
        <v>0</v>
      </c>
      <c r="C169" s="20" t="str">
        <f>_xlfn.XLOOKUP(RobotDesignResults[[#This Row],[Team Number]],OfficialTeamList[Team Number],OfficialTeamList[Team Name],"",0,)</f>
        <v/>
      </c>
      <c r="G169" s="8"/>
      <c r="H169" s="8"/>
      <c r="I169" s="8"/>
      <c r="J169" s="53">
        <f>SUM(RobotGameScores[[#This Row],[Match 1 Score]:[Match 6 Score]])/NumberOfRounds</f>
        <v>0</v>
      </c>
    </row>
    <row r="170" spans="1:10" ht="30" customHeight="1" x14ac:dyDescent="0.25">
      <c r="A170">
        <f>IF(RobotGameScores[[#This Row],[Team Number]]&gt;0,MIN(_xlfn.RANK.EQ(RobotGameScores[[#This Row],[Match Score Average]],RobotGameScores[Match Score Average],0),NumberOfTeams),NumberOfTeams+1)</f>
        <v>9</v>
      </c>
      <c r="B170" s="8">
        <f>_xlfn.XLOOKUP(169,OfficialTeamList[Row],OfficialTeamList[Team Number],"ERROR",0)</f>
        <v>0</v>
      </c>
      <c r="C170" s="20" t="str">
        <f>_xlfn.XLOOKUP(RobotDesignResults[[#This Row],[Team Number]],OfficialTeamList[Team Number],OfficialTeamList[Team Name],"",0,)</f>
        <v/>
      </c>
      <c r="G170" s="8"/>
      <c r="H170" s="8"/>
      <c r="I170" s="8"/>
      <c r="J170" s="53">
        <f>SUM(RobotGameScores[[#This Row],[Match 1 Score]:[Match 6 Score]])/NumberOfRounds</f>
        <v>0</v>
      </c>
    </row>
    <row r="171" spans="1:10" ht="30" customHeight="1" x14ac:dyDescent="0.25">
      <c r="A171">
        <f>IF(RobotGameScores[[#This Row],[Team Number]]&gt;0,MIN(_xlfn.RANK.EQ(RobotGameScores[[#This Row],[Match Score Average]],RobotGameScores[Match Score Average],0),NumberOfTeams),NumberOfTeams+1)</f>
        <v>9</v>
      </c>
      <c r="B171" s="8">
        <f>_xlfn.XLOOKUP(170,OfficialTeamList[Row],OfficialTeamList[Team Number],"ERROR",0)</f>
        <v>0</v>
      </c>
      <c r="C171" s="20" t="str">
        <f>_xlfn.XLOOKUP(RobotDesignResults[[#This Row],[Team Number]],OfficialTeamList[Team Number],OfficialTeamList[Team Name],"",0,)</f>
        <v/>
      </c>
      <c r="G171" s="8"/>
      <c r="H171" s="8"/>
      <c r="I171" s="8"/>
      <c r="J171" s="53">
        <f>SUM(RobotGameScores[[#This Row],[Match 1 Score]:[Match 6 Score]])/NumberOfRounds</f>
        <v>0</v>
      </c>
    </row>
    <row r="172" spans="1:10" ht="30" customHeight="1" x14ac:dyDescent="0.25">
      <c r="A172">
        <f>IF(RobotGameScores[[#This Row],[Team Number]]&gt;0,MIN(_xlfn.RANK.EQ(RobotGameScores[[#This Row],[Match Score Average]],RobotGameScores[Match Score Average],0),NumberOfTeams),NumberOfTeams+1)</f>
        <v>9</v>
      </c>
      <c r="B172" s="8">
        <f>_xlfn.XLOOKUP(171,OfficialTeamList[Row],OfficialTeamList[Team Number],"ERROR",0)</f>
        <v>0</v>
      </c>
      <c r="C172" s="20" t="str">
        <f>_xlfn.XLOOKUP(RobotDesignResults[[#This Row],[Team Number]],OfficialTeamList[Team Number],OfficialTeamList[Team Name],"",0,)</f>
        <v/>
      </c>
      <c r="G172" s="8"/>
      <c r="H172" s="8"/>
      <c r="I172" s="8"/>
      <c r="J172" s="53">
        <f>SUM(RobotGameScores[[#This Row],[Match 1 Score]:[Match 6 Score]])/NumberOfRounds</f>
        <v>0</v>
      </c>
    </row>
    <row r="173" spans="1:10" ht="30" customHeight="1" x14ac:dyDescent="0.25">
      <c r="A173">
        <f>IF(RobotGameScores[[#This Row],[Team Number]]&gt;0,MIN(_xlfn.RANK.EQ(RobotGameScores[[#This Row],[Match Score Average]],RobotGameScores[Match Score Average],0),NumberOfTeams),NumberOfTeams+1)</f>
        <v>9</v>
      </c>
      <c r="B173" s="8">
        <f>_xlfn.XLOOKUP(172,OfficialTeamList[Row],OfficialTeamList[Team Number],"ERROR",0)</f>
        <v>0</v>
      </c>
      <c r="C173" s="20" t="str">
        <f>_xlfn.XLOOKUP(RobotDesignResults[[#This Row],[Team Number]],OfficialTeamList[Team Number],OfficialTeamList[Team Name],"",0,)</f>
        <v/>
      </c>
      <c r="G173" s="8"/>
      <c r="H173" s="8"/>
      <c r="I173" s="8"/>
      <c r="J173" s="53">
        <f>SUM(RobotGameScores[[#This Row],[Match 1 Score]:[Match 6 Score]])/NumberOfRounds</f>
        <v>0</v>
      </c>
    </row>
    <row r="174" spans="1:10" ht="30" customHeight="1" x14ac:dyDescent="0.25">
      <c r="A174">
        <f>IF(RobotGameScores[[#This Row],[Team Number]]&gt;0,MIN(_xlfn.RANK.EQ(RobotGameScores[[#This Row],[Match Score Average]],RobotGameScores[Match Score Average],0),NumberOfTeams),NumberOfTeams+1)</f>
        <v>9</v>
      </c>
      <c r="B174" s="8">
        <f>_xlfn.XLOOKUP(173,OfficialTeamList[Row],OfficialTeamList[Team Number],"ERROR",0)</f>
        <v>0</v>
      </c>
      <c r="C174" s="20" t="str">
        <f>_xlfn.XLOOKUP(RobotDesignResults[[#This Row],[Team Number]],OfficialTeamList[Team Number],OfficialTeamList[Team Name],"",0,)</f>
        <v/>
      </c>
      <c r="G174" s="8"/>
      <c r="H174" s="8"/>
      <c r="I174" s="8"/>
      <c r="J174" s="53">
        <f>SUM(RobotGameScores[[#This Row],[Match 1 Score]:[Match 6 Score]])/NumberOfRounds</f>
        <v>0</v>
      </c>
    </row>
    <row r="175" spans="1:10" ht="30" customHeight="1" x14ac:dyDescent="0.25">
      <c r="A175">
        <f>IF(RobotGameScores[[#This Row],[Team Number]]&gt;0,MIN(_xlfn.RANK.EQ(RobotGameScores[[#This Row],[Match Score Average]],RobotGameScores[Match Score Average],0),NumberOfTeams),NumberOfTeams+1)</f>
        <v>9</v>
      </c>
      <c r="B175" s="8">
        <f>_xlfn.XLOOKUP(174,OfficialTeamList[Row],OfficialTeamList[Team Number],"ERROR",0)</f>
        <v>0</v>
      </c>
      <c r="C175" s="20" t="str">
        <f>_xlfn.XLOOKUP(RobotDesignResults[[#This Row],[Team Number]],OfficialTeamList[Team Number],OfficialTeamList[Team Name],"",0,)</f>
        <v/>
      </c>
      <c r="G175" s="8"/>
      <c r="H175" s="8"/>
      <c r="I175" s="8"/>
      <c r="J175" s="53">
        <f>SUM(RobotGameScores[[#This Row],[Match 1 Score]:[Match 6 Score]])/NumberOfRounds</f>
        <v>0</v>
      </c>
    </row>
    <row r="176" spans="1:10" ht="30" customHeight="1" x14ac:dyDescent="0.25">
      <c r="A176">
        <f>IF(RobotGameScores[[#This Row],[Team Number]]&gt;0,MIN(_xlfn.RANK.EQ(RobotGameScores[[#This Row],[Match Score Average]],RobotGameScores[Match Score Average],0),NumberOfTeams),NumberOfTeams+1)</f>
        <v>9</v>
      </c>
      <c r="B176" s="8">
        <f>_xlfn.XLOOKUP(175,OfficialTeamList[Row],OfficialTeamList[Team Number],"ERROR",0)</f>
        <v>0</v>
      </c>
      <c r="C176" s="20" t="str">
        <f>_xlfn.XLOOKUP(RobotDesignResults[[#This Row],[Team Number]],OfficialTeamList[Team Number],OfficialTeamList[Team Name],"",0,)</f>
        <v/>
      </c>
      <c r="G176" s="8"/>
      <c r="H176" s="8"/>
      <c r="I176" s="8"/>
      <c r="J176" s="53">
        <f>SUM(RobotGameScores[[#This Row],[Match 1 Score]:[Match 6 Score]])/NumberOfRounds</f>
        <v>0</v>
      </c>
    </row>
    <row r="177" spans="1:10" ht="30" customHeight="1" x14ac:dyDescent="0.25">
      <c r="A177">
        <f>IF(RobotGameScores[[#This Row],[Team Number]]&gt;0,MIN(_xlfn.RANK.EQ(RobotGameScores[[#This Row],[Match Score Average]],RobotGameScores[Match Score Average],0),NumberOfTeams),NumberOfTeams+1)</f>
        <v>9</v>
      </c>
      <c r="B177" s="8">
        <f>_xlfn.XLOOKUP(176,OfficialTeamList[Row],OfficialTeamList[Team Number],"ERROR",0)</f>
        <v>0</v>
      </c>
      <c r="C177" s="20" t="str">
        <f>_xlfn.XLOOKUP(RobotDesignResults[[#This Row],[Team Number]],OfficialTeamList[Team Number],OfficialTeamList[Team Name],"",0,)</f>
        <v/>
      </c>
      <c r="G177" s="8"/>
      <c r="H177" s="8"/>
      <c r="I177" s="8"/>
      <c r="J177" s="53">
        <f>SUM(RobotGameScores[[#This Row],[Match 1 Score]:[Match 6 Score]])/NumberOfRounds</f>
        <v>0</v>
      </c>
    </row>
    <row r="178" spans="1:10" ht="30" customHeight="1" x14ac:dyDescent="0.25">
      <c r="A178">
        <f>IF(RobotGameScores[[#This Row],[Team Number]]&gt;0,MIN(_xlfn.RANK.EQ(RobotGameScores[[#This Row],[Match Score Average]],RobotGameScores[Match Score Average],0),NumberOfTeams),NumberOfTeams+1)</f>
        <v>9</v>
      </c>
      <c r="B178" s="8">
        <f>_xlfn.XLOOKUP(177,OfficialTeamList[Row],OfficialTeamList[Team Number],"ERROR",0)</f>
        <v>0</v>
      </c>
      <c r="C178" s="20" t="str">
        <f>_xlfn.XLOOKUP(RobotDesignResults[[#This Row],[Team Number]],OfficialTeamList[Team Number],OfficialTeamList[Team Name],"",0,)</f>
        <v/>
      </c>
      <c r="G178" s="8"/>
      <c r="H178" s="8"/>
      <c r="I178" s="8"/>
      <c r="J178" s="53">
        <f>SUM(RobotGameScores[[#This Row],[Match 1 Score]:[Match 6 Score]])/NumberOfRounds</f>
        <v>0</v>
      </c>
    </row>
    <row r="179" spans="1:10" ht="30" customHeight="1" x14ac:dyDescent="0.25">
      <c r="A179">
        <f>IF(RobotGameScores[[#This Row],[Team Number]]&gt;0,MIN(_xlfn.RANK.EQ(RobotGameScores[[#This Row],[Match Score Average]],RobotGameScores[Match Score Average],0),NumberOfTeams),NumberOfTeams+1)</f>
        <v>9</v>
      </c>
      <c r="B179" s="8">
        <f>_xlfn.XLOOKUP(178,OfficialTeamList[Row],OfficialTeamList[Team Number],"ERROR",0)</f>
        <v>0</v>
      </c>
      <c r="C179" s="20" t="str">
        <f>_xlfn.XLOOKUP(RobotDesignResults[[#This Row],[Team Number]],OfficialTeamList[Team Number],OfficialTeamList[Team Name],"",0,)</f>
        <v/>
      </c>
      <c r="G179" s="8"/>
      <c r="H179" s="8"/>
      <c r="I179" s="8"/>
      <c r="J179" s="53">
        <f>SUM(RobotGameScores[[#This Row],[Match 1 Score]:[Match 6 Score]])/NumberOfRounds</f>
        <v>0</v>
      </c>
    </row>
    <row r="180" spans="1:10" ht="30" customHeight="1" x14ac:dyDescent="0.25">
      <c r="A180">
        <f>IF(RobotGameScores[[#This Row],[Team Number]]&gt;0,MIN(_xlfn.RANK.EQ(RobotGameScores[[#This Row],[Match Score Average]],RobotGameScores[Match Score Average],0),NumberOfTeams),NumberOfTeams+1)</f>
        <v>9</v>
      </c>
      <c r="B180" s="8">
        <f>_xlfn.XLOOKUP(179,OfficialTeamList[Row],OfficialTeamList[Team Number],"ERROR",0)</f>
        <v>0</v>
      </c>
      <c r="C180" s="20" t="str">
        <f>_xlfn.XLOOKUP(RobotDesignResults[[#This Row],[Team Number]],OfficialTeamList[Team Number],OfficialTeamList[Team Name],"",0,)</f>
        <v/>
      </c>
      <c r="G180" s="8"/>
      <c r="H180" s="8"/>
      <c r="I180" s="8"/>
      <c r="J180" s="53">
        <f>SUM(RobotGameScores[[#This Row],[Match 1 Score]:[Match 6 Score]])/NumberOfRounds</f>
        <v>0</v>
      </c>
    </row>
    <row r="181" spans="1:10" ht="30" customHeight="1" x14ac:dyDescent="0.25">
      <c r="A181">
        <f>IF(RobotGameScores[[#This Row],[Team Number]]&gt;0,MIN(_xlfn.RANK.EQ(RobotGameScores[[#This Row],[Match Score Average]],RobotGameScores[Match Score Average],0),NumberOfTeams),NumberOfTeams+1)</f>
        <v>9</v>
      </c>
      <c r="B181" s="8">
        <f>_xlfn.XLOOKUP(180,OfficialTeamList[Row],OfficialTeamList[Team Number],"ERROR",0)</f>
        <v>0</v>
      </c>
      <c r="C181" s="20" t="str">
        <f>_xlfn.XLOOKUP(RobotDesignResults[[#This Row],[Team Number]],OfficialTeamList[Team Number],OfficialTeamList[Team Name],"",0,)</f>
        <v/>
      </c>
      <c r="G181" s="8"/>
      <c r="H181" s="8"/>
      <c r="I181" s="8"/>
      <c r="J181" s="53">
        <f>SUM(RobotGameScores[[#This Row],[Match 1 Score]:[Match 6 Score]])/NumberOfRounds</f>
        <v>0</v>
      </c>
    </row>
    <row r="182" spans="1:10" ht="30" customHeight="1" x14ac:dyDescent="0.25">
      <c r="A182">
        <f>IF(RobotGameScores[[#This Row],[Team Number]]&gt;0,MIN(_xlfn.RANK.EQ(RobotGameScores[[#This Row],[Match Score Average]],RobotGameScores[Match Score Average],0),NumberOfTeams),NumberOfTeams+1)</f>
        <v>9</v>
      </c>
      <c r="B182" s="8">
        <f>_xlfn.XLOOKUP(181,OfficialTeamList[Row],OfficialTeamList[Team Number],"ERROR",0)</f>
        <v>0</v>
      </c>
      <c r="C182" s="20" t="str">
        <f>_xlfn.XLOOKUP(RobotDesignResults[[#This Row],[Team Number]],OfficialTeamList[Team Number],OfficialTeamList[Team Name],"",0,)</f>
        <v/>
      </c>
      <c r="G182" s="8"/>
      <c r="H182" s="8"/>
      <c r="I182" s="8"/>
      <c r="J182" s="53">
        <f>SUM(RobotGameScores[[#This Row],[Match 1 Score]:[Match 6 Score]])/NumberOfRounds</f>
        <v>0</v>
      </c>
    </row>
    <row r="183" spans="1:10" ht="30" customHeight="1" x14ac:dyDescent="0.25">
      <c r="A183">
        <f>IF(RobotGameScores[[#This Row],[Team Number]]&gt;0,MIN(_xlfn.RANK.EQ(RobotGameScores[[#This Row],[Match Score Average]],RobotGameScores[Match Score Average],0),NumberOfTeams),NumberOfTeams+1)</f>
        <v>9</v>
      </c>
      <c r="B183" s="8">
        <f>_xlfn.XLOOKUP(182,OfficialTeamList[Row],OfficialTeamList[Team Number],"ERROR",0)</f>
        <v>0</v>
      </c>
      <c r="C183" s="20" t="str">
        <f>_xlfn.XLOOKUP(RobotDesignResults[[#This Row],[Team Number]],OfficialTeamList[Team Number],OfficialTeamList[Team Name],"",0,)</f>
        <v/>
      </c>
      <c r="G183" s="8"/>
      <c r="H183" s="8"/>
      <c r="I183" s="8"/>
      <c r="J183" s="53">
        <f>SUM(RobotGameScores[[#This Row],[Match 1 Score]:[Match 6 Score]])/NumberOfRounds</f>
        <v>0</v>
      </c>
    </row>
    <row r="184" spans="1:10" ht="30" customHeight="1" x14ac:dyDescent="0.25">
      <c r="A184">
        <f>IF(RobotGameScores[[#This Row],[Team Number]]&gt;0,MIN(_xlfn.RANK.EQ(RobotGameScores[[#This Row],[Match Score Average]],RobotGameScores[Match Score Average],0),NumberOfTeams),NumberOfTeams+1)</f>
        <v>9</v>
      </c>
      <c r="B184" s="8">
        <f>_xlfn.XLOOKUP(183,OfficialTeamList[Row],OfficialTeamList[Team Number],"ERROR",0)</f>
        <v>0</v>
      </c>
      <c r="C184" s="20" t="str">
        <f>_xlfn.XLOOKUP(RobotDesignResults[[#This Row],[Team Number]],OfficialTeamList[Team Number],OfficialTeamList[Team Name],"",0,)</f>
        <v/>
      </c>
      <c r="G184" s="8"/>
      <c r="H184" s="8"/>
      <c r="I184" s="8"/>
      <c r="J184" s="53">
        <f>SUM(RobotGameScores[[#This Row],[Match 1 Score]:[Match 6 Score]])/NumberOfRounds</f>
        <v>0</v>
      </c>
    </row>
    <row r="185" spans="1:10" ht="30" customHeight="1" x14ac:dyDescent="0.25">
      <c r="A185">
        <f>IF(RobotGameScores[[#This Row],[Team Number]]&gt;0,MIN(_xlfn.RANK.EQ(RobotGameScores[[#This Row],[Match Score Average]],RobotGameScores[Match Score Average],0),NumberOfTeams),NumberOfTeams+1)</f>
        <v>9</v>
      </c>
      <c r="B185" s="8">
        <f>_xlfn.XLOOKUP(184,OfficialTeamList[Row],OfficialTeamList[Team Number],"ERROR",0)</f>
        <v>0</v>
      </c>
      <c r="C185" s="20" t="str">
        <f>_xlfn.XLOOKUP(RobotDesignResults[[#This Row],[Team Number]],OfficialTeamList[Team Number],OfficialTeamList[Team Name],"",0,)</f>
        <v/>
      </c>
      <c r="G185" s="8"/>
      <c r="H185" s="8"/>
      <c r="I185" s="8"/>
      <c r="J185" s="53">
        <f>SUM(RobotGameScores[[#This Row],[Match 1 Score]:[Match 6 Score]])/NumberOfRounds</f>
        <v>0</v>
      </c>
    </row>
    <row r="186" spans="1:10" ht="30" customHeight="1" x14ac:dyDescent="0.25">
      <c r="A186">
        <f>IF(RobotGameScores[[#This Row],[Team Number]]&gt;0,MIN(_xlfn.RANK.EQ(RobotGameScores[[#This Row],[Match Score Average]],RobotGameScores[Match Score Average],0),NumberOfTeams),NumberOfTeams+1)</f>
        <v>9</v>
      </c>
      <c r="B186" s="8">
        <f>_xlfn.XLOOKUP(185,OfficialTeamList[Row],OfficialTeamList[Team Number],"ERROR",0)</f>
        <v>0</v>
      </c>
      <c r="C186" s="20" t="str">
        <f>_xlfn.XLOOKUP(RobotDesignResults[[#This Row],[Team Number]],OfficialTeamList[Team Number],OfficialTeamList[Team Name],"",0,)</f>
        <v/>
      </c>
      <c r="G186" s="8"/>
      <c r="H186" s="8"/>
      <c r="I186" s="8"/>
      <c r="J186" s="53">
        <f>SUM(RobotGameScores[[#This Row],[Match 1 Score]:[Match 6 Score]])/NumberOfRounds</f>
        <v>0</v>
      </c>
    </row>
    <row r="187" spans="1:10" ht="30" customHeight="1" x14ac:dyDescent="0.25">
      <c r="A187">
        <f>IF(RobotGameScores[[#This Row],[Team Number]]&gt;0,MIN(_xlfn.RANK.EQ(RobotGameScores[[#This Row],[Match Score Average]],RobotGameScores[Match Score Average],0),NumberOfTeams),NumberOfTeams+1)</f>
        <v>9</v>
      </c>
      <c r="B187" s="8">
        <f>_xlfn.XLOOKUP(186,OfficialTeamList[Row],OfficialTeamList[Team Number],"ERROR",0)</f>
        <v>0</v>
      </c>
      <c r="C187" s="20" t="str">
        <f>_xlfn.XLOOKUP(RobotDesignResults[[#This Row],[Team Number]],OfficialTeamList[Team Number],OfficialTeamList[Team Name],"",0,)</f>
        <v/>
      </c>
      <c r="G187" s="8"/>
      <c r="H187" s="8"/>
      <c r="I187" s="8"/>
      <c r="J187" s="53">
        <f>SUM(RobotGameScores[[#This Row],[Match 1 Score]:[Match 6 Score]])/NumberOfRounds</f>
        <v>0</v>
      </c>
    </row>
    <row r="188" spans="1:10" ht="30" customHeight="1" x14ac:dyDescent="0.25">
      <c r="A188">
        <f>IF(RobotGameScores[[#This Row],[Team Number]]&gt;0,MIN(_xlfn.RANK.EQ(RobotGameScores[[#This Row],[Match Score Average]],RobotGameScores[Match Score Average],0),NumberOfTeams),NumberOfTeams+1)</f>
        <v>9</v>
      </c>
      <c r="B188" s="8">
        <f>_xlfn.XLOOKUP(187,OfficialTeamList[Row],OfficialTeamList[Team Number],"ERROR",0)</f>
        <v>0</v>
      </c>
      <c r="C188" s="20" t="str">
        <f>_xlfn.XLOOKUP(RobotDesignResults[[#This Row],[Team Number]],OfficialTeamList[Team Number],OfficialTeamList[Team Name],"",0,)</f>
        <v/>
      </c>
      <c r="G188" s="8"/>
      <c r="H188" s="8"/>
      <c r="I188" s="8"/>
      <c r="J188" s="53">
        <f>SUM(RobotGameScores[[#This Row],[Match 1 Score]:[Match 6 Score]])/NumberOfRounds</f>
        <v>0</v>
      </c>
    </row>
    <row r="189" spans="1:10" ht="30" customHeight="1" x14ac:dyDescent="0.25">
      <c r="A189">
        <f>IF(RobotGameScores[[#This Row],[Team Number]]&gt;0,MIN(_xlfn.RANK.EQ(RobotGameScores[[#This Row],[Match Score Average]],RobotGameScores[Match Score Average],0),NumberOfTeams),NumberOfTeams+1)</f>
        <v>9</v>
      </c>
      <c r="B189" s="8">
        <f>_xlfn.XLOOKUP(188,OfficialTeamList[Row],OfficialTeamList[Team Number],"ERROR",0)</f>
        <v>0</v>
      </c>
      <c r="C189" s="20" t="str">
        <f>_xlfn.XLOOKUP(RobotDesignResults[[#This Row],[Team Number]],OfficialTeamList[Team Number],OfficialTeamList[Team Name],"",0,)</f>
        <v/>
      </c>
      <c r="G189" s="8"/>
      <c r="H189" s="8"/>
      <c r="I189" s="8"/>
      <c r="J189" s="53">
        <f>SUM(RobotGameScores[[#This Row],[Match 1 Score]:[Match 6 Score]])/NumberOfRounds</f>
        <v>0</v>
      </c>
    </row>
    <row r="190" spans="1:10" ht="30" customHeight="1" x14ac:dyDescent="0.25">
      <c r="A190">
        <f>IF(RobotGameScores[[#This Row],[Team Number]]&gt;0,MIN(_xlfn.RANK.EQ(RobotGameScores[[#This Row],[Match Score Average]],RobotGameScores[Match Score Average],0),NumberOfTeams),NumberOfTeams+1)</f>
        <v>9</v>
      </c>
      <c r="B190" s="8">
        <f>_xlfn.XLOOKUP(189,OfficialTeamList[Row],OfficialTeamList[Team Number],"ERROR",0)</f>
        <v>0</v>
      </c>
      <c r="C190" s="20" t="str">
        <f>_xlfn.XLOOKUP(RobotDesignResults[[#This Row],[Team Number]],OfficialTeamList[Team Number],OfficialTeamList[Team Name],"",0,)</f>
        <v/>
      </c>
      <c r="G190" s="8"/>
      <c r="H190" s="8"/>
      <c r="I190" s="8"/>
      <c r="J190" s="53">
        <f>SUM(RobotGameScores[[#This Row],[Match 1 Score]:[Match 6 Score]])/NumberOfRounds</f>
        <v>0</v>
      </c>
    </row>
    <row r="191" spans="1:10" ht="30" customHeight="1" x14ac:dyDescent="0.25">
      <c r="A191">
        <f>IF(RobotGameScores[[#This Row],[Team Number]]&gt;0,MIN(_xlfn.RANK.EQ(RobotGameScores[[#This Row],[Match Score Average]],RobotGameScores[Match Score Average],0),NumberOfTeams),NumberOfTeams+1)</f>
        <v>9</v>
      </c>
      <c r="B191" s="8">
        <f>_xlfn.XLOOKUP(190,OfficialTeamList[Row],OfficialTeamList[Team Number],"ERROR",0)</f>
        <v>0</v>
      </c>
      <c r="C191" s="20" t="str">
        <f>_xlfn.XLOOKUP(RobotDesignResults[[#This Row],[Team Number]],OfficialTeamList[Team Number],OfficialTeamList[Team Name],"",0,)</f>
        <v/>
      </c>
      <c r="G191" s="8"/>
      <c r="H191" s="8"/>
      <c r="I191" s="8"/>
      <c r="J191" s="53">
        <f>SUM(RobotGameScores[[#This Row],[Match 1 Score]:[Match 6 Score]])/NumberOfRounds</f>
        <v>0</v>
      </c>
    </row>
    <row r="192" spans="1:10" ht="30" customHeight="1" x14ac:dyDescent="0.25">
      <c r="A192">
        <f>IF(RobotGameScores[[#This Row],[Team Number]]&gt;0,MIN(_xlfn.RANK.EQ(RobotGameScores[[#This Row],[Match Score Average]],RobotGameScores[Match Score Average],0),NumberOfTeams),NumberOfTeams+1)</f>
        <v>9</v>
      </c>
      <c r="B192" s="8">
        <f>_xlfn.XLOOKUP(191,OfficialTeamList[Row],OfficialTeamList[Team Number],"ERROR",0)</f>
        <v>0</v>
      </c>
      <c r="C192" s="20" t="str">
        <f>_xlfn.XLOOKUP(RobotDesignResults[[#This Row],[Team Number]],OfficialTeamList[Team Number],OfficialTeamList[Team Name],"",0,)</f>
        <v/>
      </c>
      <c r="G192" s="8"/>
      <c r="H192" s="8"/>
      <c r="I192" s="8"/>
      <c r="J192" s="53">
        <f>SUM(RobotGameScores[[#This Row],[Match 1 Score]:[Match 6 Score]])/NumberOfRounds</f>
        <v>0</v>
      </c>
    </row>
    <row r="193" spans="1:10" ht="30" customHeight="1" x14ac:dyDescent="0.25">
      <c r="A193">
        <f>IF(RobotGameScores[[#This Row],[Team Number]]&gt;0,MIN(_xlfn.RANK.EQ(RobotGameScores[[#This Row],[Match Score Average]],RobotGameScores[Match Score Average],0),NumberOfTeams),NumberOfTeams+1)</f>
        <v>9</v>
      </c>
      <c r="B193" s="8">
        <f>_xlfn.XLOOKUP(192,OfficialTeamList[Row],OfficialTeamList[Team Number],"ERROR",0)</f>
        <v>0</v>
      </c>
      <c r="C193" s="20" t="str">
        <f>_xlfn.XLOOKUP(RobotDesignResults[[#This Row],[Team Number]],OfficialTeamList[Team Number],OfficialTeamList[Team Name],"",0,)</f>
        <v/>
      </c>
      <c r="G193" s="8"/>
      <c r="H193" s="8"/>
      <c r="I193" s="8"/>
      <c r="J193" s="53">
        <f>SUM(RobotGameScores[[#This Row],[Match 1 Score]:[Match 6 Score]])/NumberOfRounds</f>
        <v>0</v>
      </c>
    </row>
    <row r="194" spans="1:10" ht="30" customHeight="1" x14ac:dyDescent="0.25">
      <c r="A194">
        <f>IF(RobotGameScores[[#This Row],[Team Number]]&gt;0,MIN(_xlfn.RANK.EQ(RobotGameScores[[#This Row],[Match Score Average]],RobotGameScores[Match Score Average],0),NumberOfTeams),NumberOfTeams+1)</f>
        <v>9</v>
      </c>
      <c r="B194" s="8">
        <f>_xlfn.XLOOKUP(193,OfficialTeamList[Row],OfficialTeamList[Team Number],"ERROR",0)</f>
        <v>0</v>
      </c>
      <c r="C194" s="20" t="str">
        <f>_xlfn.XLOOKUP(RobotDesignResults[[#This Row],[Team Number]],OfficialTeamList[Team Number],OfficialTeamList[Team Name],"",0,)</f>
        <v/>
      </c>
      <c r="G194" s="8"/>
      <c r="H194" s="8"/>
      <c r="I194" s="8"/>
      <c r="J194" s="53">
        <f>SUM(RobotGameScores[[#This Row],[Match 1 Score]:[Match 6 Score]])/NumberOfRounds</f>
        <v>0</v>
      </c>
    </row>
    <row r="195" spans="1:10" ht="30" customHeight="1" x14ac:dyDescent="0.25">
      <c r="A195">
        <f>IF(RobotGameScores[[#This Row],[Team Number]]&gt;0,MIN(_xlfn.RANK.EQ(RobotGameScores[[#This Row],[Match Score Average]],RobotGameScores[Match Score Average],0),NumberOfTeams),NumberOfTeams+1)</f>
        <v>9</v>
      </c>
      <c r="B195" s="8">
        <f>_xlfn.XLOOKUP(194,OfficialTeamList[Row],OfficialTeamList[Team Number],"ERROR",0)</f>
        <v>0</v>
      </c>
      <c r="C195" s="20" t="str">
        <f>_xlfn.XLOOKUP(RobotDesignResults[[#This Row],[Team Number]],OfficialTeamList[Team Number],OfficialTeamList[Team Name],"",0,)</f>
        <v/>
      </c>
      <c r="G195" s="8"/>
      <c r="H195" s="8"/>
      <c r="I195" s="8"/>
      <c r="J195" s="53">
        <f>SUM(RobotGameScores[[#This Row],[Match 1 Score]:[Match 6 Score]])/NumberOfRounds</f>
        <v>0</v>
      </c>
    </row>
    <row r="196" spans="1:10" ht="30" customHeight="1" x14ac:dyDescent="0.25">
      <c r="A196">
        <f>IF(RobotGameScores[[#This Row],[Team Number]]&gt;0,MIN(_xlfn.RANK.EQ(RobotGameScores[[#This Row],[Match Score Average]],RobotGameScores[Match Score Average],0),NumberOfTeams),NumberOfTeams+1)</f>
        <v>9</v>
      </c>
      <c r="B196" s="8">
        <f>_xlfn.XLOOKUP(195,OfficialTeamList[Row],OfficialTeamList[Team Number],"ERROR",0)</f>
        <v>0</v>
      </c>
      <c r="C196" s="20" t="str">
        <f>_xlfn.XLOOKUP(RobotDesignResults[[#This Row],[Team Number]],OfficialTeamList[Team Number],OfficialTeamList[Team Name],"",0,)</f>
        <v/>
      </c>
      <c r="G196" s="8"/>
      <c r="H196" s="8"/>
      <c r="I196" s="8"/>
      <c r="J196" s="53">
        <f>SUM(RobotGameScores[[#This Row],[Match 1 Score]:[Match 6 Score]])/NumberOfRounds</f>
        <v>0</v>
      </c>
    </row>
    <row r="197" spans="1:10" ht="30" customHeight="1" x14ac:dyDescent="0.25">
      <c r="A197">
        <f>IF(RobotGameScores[[#This Row],[Team Number]]&gt;0,MIN(_xlfn.RANK.EQ(RobotGameScores[[#This Row],[Match Score Average]],RobotGameScores[Match Score Average],0),NumberOfTeams),NumberOfTeams+1)</f>
        <v>9</v>
      </c>
      <c r="B197" s="8">
        <f>_xlfn.XLOOKUP(196,OfficialTeamList[Row],OfficialTeamList[Team Number],"ERROR",0)</f>
        <v>0</v>
      </c>
      <c r="C197" s="20" t="str">
        <f>_xlfn.XLOOKUP(RobotDesignResults[[#This Row],[Team Number]],OfficialTeamList[Team Number],OfficialTeamList[Team Name],"",0,)</f>
        <v/>
      </c>
      <c r="G197" s="8"/>
      <c r="H197" s="8"/>
      <c r="I197" s="8"/>
      <c r="J197" s="53">
        <f>SUM(RobotGameScores[[#This Row],[Match 1 Score]:[Match 6 Score]])/NumberOfRounds</f>
        <v>0</v>
      </c>
    </row>
    <row r="198" spans="1:10" ht="30" customHeight="1" x14ac:dyDescent="0.25">
      <c r="A198">
        <f>IF(RobotGameScores[[#This Row],[Team Number]]&gt;0,MIN(_xlfn.RANK.EQ(RobotGameScores[[#This Row],[Match Score Average]],RobotGameScores[Match Score Average],0),NumberOfTeams),NumberOfTeams+1)</f>
        <v>9</v>
      </c>
      <c r="B198" s="8">
        <f>_xlfn.XLOOKUP(197,OfficialTeamList[Row],OfficialTeamList[Team Number],"ERROR",0)</f>
        <v>0</v>
      </c>
      <c r="C198" s="20" t="str">
        <f>_xlfn.XLOOKUP(RobotDesignResults[[#This Row],[Team Number]],OfficialTeamList[Team Number],OfficialTeamList[Team Name],"",0,)</f>
        <v/>
      </c>
      <c r="G198" s="8"/>
      <c r="H198" s="8"/>
      <c r="I198" s="8"/>
      <c r="J198" s="53">
        <f>SUM(RobotGameScores[[#This Row],[Match 1 Score]:[Match 6 Score]])/NumberOfRounds</f>
        <v>0</v>
      </c>
    </row>
    <row r="199" spans="1:10" ht="30" customHeight="1" x14ac:dyDescent="0.25">
      <c r="A199">
        <f>IF(RobotGameScores[[#This Row],[Team Number]]&gt;0,MIN(_xlfn.RANK.EQ(RobotGameScores[[#This Row],[Match Score Average]],RobotGameScores[Match Score Average],0),NumberOfTeams),NumberOfTeams+1)</f>
        <v>9</v>
      </c>
      <c r="B199" s="8">
        <f>_xlfn.XLOOKUP(198,OfficialTeamList[Row],OfficialTeamList[Team Number],"ERROR",0)</f>
        <v>0</v>
      </c>
      <c r="C199" s="20" t="str">
        <f>_xlfn.XLOOKUP(RobotDesignResults[[#This Row],[Team Number]],OfficialTeamList[Team Number],OfficialTeamList[Team Name],"",0,)</f>
        <v/>
      </c>
      <c r="G199" s="8"/>
      <c r="H199" s="8"/>
      <c r="I199" s="8"/>
      <c r="J199" s="53">
        <f>SUM(RobotGameScores[[#This Row],[Match 1 Score]:[Match 6 Score]])/NumberOfRounds</f>
        <v>0</v>
      </c>
    </row>
    <row r="200" spans="1:10" ht="30" customHeight="1" x14ac:dyDescent="0.25">
      <c r="A200">
        <f>IF(RobotGameScores[[#This Row],[Team Number]]&gt;0,MIN(_xlfn.RANK.EQ(RobotGameScores[[#This Row],[Match Score Average]],RobotGameScores[Match Score Average],0),NumberOfTeams),NumberOfTeams+1)</f>
        <v>9</v>
      </c>
      <c r="B200" s="8">
        <f>_xlfn.XLOOKUP(199,OfficialTeamList[Row],OfficialTeamList[Team Number],"ERROR",0)</f>
        <v>0</v>
      </c>
      <c r="C200" s="20" t="str">
        <f>_xlfn.XLOOKUP(RobotDesignResults[[#This Row],[Team Number]],OfficialTeamList[Team Number],OfficialTeamList[Team Name],"",0,)</f>
        <v/>
      </c>
      <c r="G200" s="8"/>
      <c r="H200" s="8"/>
      <c r="I200" s="8"/>
      <c r="J200" s="53">
        <f>SUM(RobotGameScores[[#This Row],[Match 1 Score]:[Match 6 Score]])/NumberOfRounds</f>
        <v>0</v>
      </c>
    </row>
    <row r="201" spans="1:10" ht="30" customHeight="1" x14ac:dyDescent="0.25">
      <c r="A201">
        <f>IF(RobotGameScores[[#This Row],[Team Number]]&gt;0,MIN(_xlfn.RANK.EQ(RobotGameScores[[#This Row],[Match Score Average]],RobotGameScores[Match Score Average],0),NumberOfTeams),NumberOfTeams+1)</f>
        <v>9</v>
      </c>
      <c r="B201" s="8">
        <f>_xlfn.XLOOKUP(200,OfficialTeamList[Row],OfficialTeamList[Team Number],"ERROR",0)</f>
        <v>0</v>
      </c>
      <c r="C201" s="20" t="str">
        <f>_xlfn.XLOOKUP(RobotDesignResults[[#This Row],[Team Number]],OfficialTeamList[Team Number],OfficialTeamList[Team Name],"",0,)</f>
        <v/>
      </c>
      <c r="G201" s="8"/>
      <c r="H201" s="8"/>
      <c r="I201" s="8"/>
      <c r="J201" s="53">
        <f>SUM(RobotGameScores[[#This Row],[Match 1 Score]:[Match 6 Score]])/NumberOfRounds</f>
        <v>0</v>
      </c>
    </row>
  </sheetData>
  <sheetProtection algorithmName="SHA-512" hashValue="LwDCPBrhuPaJ0rh84gSo1CTOdMElGfc8QCQsuAGSAy4+xYaQvWsLsBLQrvDBFMbLfld5ZPuld+qdjD9HAZ5CMA==" saltValue="Z4x/dBjHSJjYljZTz/ZLSg==" spinCount="100000" sheet="1" objects="1" scenarios="1"/>
  <pageMargins left="0.7" right="0.7" top="0.75" bottom="0.75" header="0.3" footer="0.3"/>
  <legacy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4FDDE-211F-45BE-A4A0-C466A41ABA6E}">
  <sheetPr>
    <tabColor rgb="FFFF0000"/>
  </sheetPr>
  <dimension ref="A1:O201"/>
  <sheetViews>
    <sheetView showGridLines="0" zoomScaleNormal="100" workbookViewId="0">
      <selection activeCell="E9" sqref="E9"/>
    </sheetView>
  </sheetViews>
  <sheetFormatPr defaultRowHeight="15" x14ac:dyDescent="0.25"/>
  <cols>
    <col min="1" max="2" width="7.42578125" customWidth="1"/>
    <col min="3" max="3" width="14.7109375" customWidth="1"/>
    <col min="4" max="4" width="26.85546875" customWidth="1"/>
    <col min="5" max="5" width="14.7109375" customWidth="1"/>
    <col min="6" max="6" width="35.7109375" customWidth="1"/>
    <col min="7" max="7" width="5.85546875" customWidth="1"/>
    <col min="8" max="8" width="6" customWidth="1"/>
    <col min="9" max="9" width="8" style="51" customWidth="1"/>
    <col min="10" max="10" width="6.85546875" style="51" customWidth="1"/>
    <col min="11" max="11" width="6" customWidth="1"/>
    <col min="12" max="13" width="7.42578125" customWidth="1"/>
    <col min="14" max="14" width="10.42578125" customWidth="1"/>
  </cols>
  <sheetData>
    <row r="1" spans="1:15" ht="169.15" customHeight="1" x14ac:dyDescent="0.25">
      <c r="A1" s="75" t="s">
        <v>95</v>
      </c>
      <c r="B1" s="76" t="s">
        <v>78</v>
      </c>
      <c r="C1" s="42" t="s">
        <v>74</v>
      </c>
      <c r="D1" s="43" t="s">
        <v>73</v>
      </c>
      <c r="E1" s="44" t="s">
        <v>75</v>
      </c>
      <c r="F1" s="45" t="s">
        <v>72</v>
      </c>
      <c r="G1" s="46" t="s">
        <v>76</v>
      </c>
      <c r="H1" s="47" t="s">
        <v>77</v>
      </c>
      <c r="I1" s="74" t="s">
        <v>71</v>
      </c>
      <c r="J1" s="74" t="s">
        <v>91</v>
      </c>
    </row>
    <row r="2" spans="1:15" ht="21" customHeight="1" x14ac:dyDescent="0.25">
      <c r="A2">
        <v>1</v>
      </c>
      <c r="B2">
        <v>1</v>
      </c>
      <c r="C2" s="12">
        <v>1234</v>
      </c>
      <c r="D2" s="15" t="s">
        <v>51</v>
      </c>
      <c r="E2" s="12">
        <v>1232</v>
      </c>
      <c r="F2" s="15" t="s">
        <v>55</v>
      </c>
      <c r="G2">
        <f>VLOOKUP(RobotGameScores3[[#This Row],[Blue Team Number]],'Game Scores'!$B:$I,2+COUNTIF(MatchTeams,C2),FALSE)</f>
        <v>44</v>
      </c>
      <c r="H2">
        <f>VLOOKUP(RobotGameScores3[[#This Row],[Red Team Number]],'Game Scores'!$B:$I,2+COUNTIF($C$2:E2,E2),FALSE)</f>
        <v>55</v>
      </c>
      <c r="I2" s="50">
        <f>IF(SUM(RobotGameScores3[[#This Row],[Blue Team Score]:[Red Team Score]])=0,"",SUM(RobotGameScores3[[#This Row],[Blue Team Score]:[Red Team Score]]))</f>
        <v>99</v>
      </c>
      <c r="J2" s="50">
        <f>IF(RobotGameScores3[[#This Row],[Blue Team Number]]="","",_xlfn.RANK.EQ(RobotGameScores3[[#This Row],[Highest Combined Score]],CombinedMatchScore))</f>
        <v>5</v>
      </c>
      <c r="M2" s="48"/>
    </row>
    <row r="3" spans="1:15" ht="21" customHeight="1" x14ac:dyDescent="0.25">
      <c r="A3">
        <v>2</v>
      </c>
      <c r="B3">
        <v>2</v>
      </c>
      <c r="C3" s="12">
        <v>2345</v>
      </c>
      <c r="D3" s="15" t="s">
        <v>52</v>
      </c>
      <c r="E3" s="12">
        <v>6262</v>
      </c>
      <c r="F3" s="15" t="s">
        <v>56</v>
      </c>
      <c r="G3">
        <f>VLOOKUP(RobotGameScores3[[#This Row],[Blue Team Number]],'Game Scores'!$B:$I,2+COUNTIF($C$2:E3,C3),FALSE)</f>
        <v>22</v>
      </c>
      <c r="H3">
        <f>VLOOKUP(RobotGameScores3[[#This Row],[Red Team Number]],'Game Scores'!$B:$I,2+COUNTIF($C$2:E3,E3),FALSE)</f>
        <v>95</v>
      </c>
      <c r="I3" s="50">
        <f>IF(SUM(RobotGameScores3[[#This Row],[Blue Team Score]:[Red Team Score]])=0,"",SUM(RobotGameScores3[[#This Row],[Blue Team Score]:[Red Team Score]]))</f>
        <v>117</v>
      </c>
      <c r="J3" s="50">
        <f>IF(RobotGameScores3[[#This Row],[Blue Team Number]]="","",_xlfn.RANK.EQ(RobotGameScores3[[#This Row],[Highest Combined Score]],CombinedMatchScore))</f>
        <v>4</v>
      </c>
      <c r="M3" s="48"/>
    </row>
    <row r="4" spans="1:15" ht="21" customHeight="1" x14ac:dyDescent="0.25">
      <c r="A4">
        <v>3</v>
      </c>
      <c r="B4">
        <v>1</v>
      </c>
      <c r="C4" s="12">
        <v>3456</v>
      </c>
      <c r="D4" s="15" t="s">
        <v>53</v>
      </c>
      <c r="E4" s="12">
        <v>46844</v>
      </c>
      <c r="F4" s="15" t="s">
        <v>57</v>
      </c>
      <c r="G4">
        <f>VLOOKUP(RobotGameScores3[[#This Row],[Blue Team Number]],'Game Scores'!$B:$I,2+COUNTIF($C$2:E4,C4),FALSE)</f>
        <v>100</v>
      </c>
      <c r="H4">
        <f>VLOOKUP(RobotGameScores3[[#This Row],[Red Team Number]],'Game Scores'!$B:$I,2+COUNTIF($C$2:E4,E4),FALSE)</f>
        <v>55</v>
      </c>
      <c r="I4" s="50">
        <f>IF(SUM(RobotGameScores3[[#This Row],[Blue Team Score]:[Red Team Score]])=0,"",SUM(RobotGameScores3[[#This Row],[Blue Team Score]:[Red Team Score]]))</f>
        <v>155</v>
      </c>
      <c r="J4" s="50">
        <f>IF(RobotGameScores3[[#This Row],[Blue Team Number]]="","",_xlfn.RANK.EQ(RobotGameScores3[[#This Row],[Highest Combined Score]],CombinedMatchScore))</f>
        <v>2</v>
      </c>
      <c r="M4" s="48"/>
    </row>
    <row r="5" spans="1:15" ht="21" customHeight="1" x14ac:dyDescent="0.25">
      <c r="A5">
        <v>4</v>
      </c>
      <c r="B5">
        <v>2</v>
      </c>
      <c r="C5" s="12">
        <v>235</v>
      </c>
      <c r="D5" s="15" t="s">
        <v>54</v>
      </c>
      <c r="E5" s="12">
        <v>26466</v>
      </c>
      <c r="F5" s="15" t="s">
        <v>58</v>
      </c>
      <c r="G5">
        <f>VLOOKUP(RobotGameScores3[[#This Row],[Blue Team Number]],'Game Scores'!$B:$I,2+COUNTIF($C$2:E5,C5),FALSE)</f>
        <v>135</v>
      </c>
      <c r="H5">
        <f>VLOOKUP(RobotGameScores3[[#This Row],[Red Team Number]],'Game Scores'!$B:$I,2+COUNTIF($C$2:E5,E5),FALSE)</f>
        <v>0</v>
      </c>
      <c r="I5" s="50">
        <f>IF(SUM(RobotGameScores3[[#This Row],[Blue Team Score]:[Red Team Score]])=0,"",SUM(RobotGameScores3[[#This Row],[Blue Team Score]:[Red Team Score]]))</f>
        <v>135</v>
      </c>
      <c r="J5" s="50">
        <f>IF(RobotGameScores3[[#This Row],[Blue Team Number]]="","",_xlfn.RANK.EQ(RobotGameScores3[[#This Row],[Highest Combined Score]],CombinedMatchScore))</f>
        <v>3</v>
      </c>
    </row>
    <row r="6" spans="1:15" ht="21" customHeight="1" x14ac:dyDescent="0.25">
      <c r="A6">
        <v>5</v>
      </c>
      <c r="B6">
        <v>2</v>
      </c>
      <c r="C6" s="12">
        <v>1232</v>
      </c>
      <c r="D6" s="15" t="s">
        <v>55</v>
      </c>
      <c r="E6" s="12">
        <v>1234</v>
      </c>
      <c r="F6" s="15" t="s">
        <v>51</v>
      </c>
      <c r="G6">
        <f>VLOOKUP(RobotGameScores3[[#This Row],[Blue Team Number]],'Game Scores'!$B:$I,2+COUNTIF($C$2:E6,C6),FALSE)</f>
        <v>33</v>
      </c>
      <c r="H6">
        <f>VLOOKUP(RobotGameScores3[[#This Row],[Red Team Number]],'Game Scores'!$B:$I,2+COUNTIF($C$2:E6,E6),FALSE)</f>
        <v>44</v>
      </c>
      <c r="I6" s="50">
        <f>IF(SUM(RobotGameScores3[[#This Row],[Blue Team Score]:[Red Team Score]])=0,"",SUM(RobotGameScores3[[#This Row],[Blue Team Score]:[Red Team Score]]))</f>
        <v>77</v>
      </c>
      <c r="J6" s="50">
        <f>IF(RobotGameScores3[[#This Row],[Blue Team Number]]="","",_xlfn.RANK.EQ(RobotGameScores3[[#This Row],[Highest Combined Score]],CombinedMatchScore))</f>
        <v>9</v>
      </c>
      <c r="O6" s="49"/>
    </row>
    <row r="7" spans="1:15" ht="21" customHeight="1" x14ac:dyDescent="0.25">
      <c r="A7">
        <v>6</v>
      </c>
      <c r="B7">
        <v>1</v>
      </c>
      <c r="C7" s="12">
        <v>6262</v>
      </c>
      <c r="D7" s="15" t="s">
        <v>56</v>
      </c>
      <c r="E7" s="12">
        <v>2345</v>
      </c>
      <c r="F7" s="15" t="s">
        <v>52</v>
      </c>
      <c r="G7">
        <f>VLOOKUP(RobotGameScores3[[#This Row],[Blue Team Number]],'Game Scores'!$B:$I,2+COUNTIF($C$2:E7,C7),FALSE)</f>
        <v>33</v>
      </c>
      <c r="H7">
        <f>VLOOKUP(RobotGameScores3[[#This Row],[Red Team Number]],'Game Scores'!$B:$I,2+COUNTIF($C$2:E7,E7),FALSE)</f>
        <v>45</v>
      </c>
      <c r="I7" s="50">
        <f>IF(SUM(RobotGameScores3[[#This Row],[Blue Team Score]:[Red Team Score]])=0,"",SUM(RobotGameScores3[[#This Row],[Blue Team Score]:[Red Team Score]]))</f>
        <v>78</v>
      </c>
      <c r="J7" s="50">
        <f>IF(RobotGameScores3[[#This Row],[Blue Team Number]]="","",_xlfn.RANK.EQ(RobotGameScores3[[#This Row],[Highest Combined Score]],CombinedMatchScore))</f>
        <v>7</v>
      </c>
      <c r="O7" s="49"/>
    </row>
    <row r="8" spans="1:15" ht="21" customHeight="1" x14ac:dyDescent="0.25">
      <c r="A8">
        <v>7</v>
      </c>
      <c r="B8">
        <v>2</v>
      </c>
      <c r="C8" s="12">
        <v>46844</v>
      </c>
      <c r="D8" s="15" t="s">
        <v>57</v>
      </c>
      <c r="E8" s="12">
        <v>3456</v>
      </c>
      <c r="F8" s="15" t="s">
        <v>53</v>
      </c>
      <c r="G8">
        <f>VLOOKUP(RobotGameScores3[[#This Row],[Blue Team Number]],'Game Scores'!$B:$I,2+COUNTIF($C$2:E8,C8),FALSE)</f>
        <v>66</v>
      </c>
      <c r="H8">
        <f>VLOOKUP(RobotGameScores3[[#This Row],[Red Team Number]],'Game Scores'!$B:$I,2+COUNTIF($C$2:E8,E8),FALSE)</f>
        <v>12</v>
      </c>
      <c r="I8" s="50">
        <f>IF(SUM(RobotGameScores3[[#This Row],[Blue Team Score]:[Red Team Score]])=0,"",SUM(RobotGameScores3[[#This Row],[Blue Team Score]:[Red Team Score]]))</f>
        <v>78</v>
      </c>
      <c r="J8" s="50">
        <f>IF(RobotGameScores3[[#This Row],[Blue Team Number]]="","",_xlfn.RANK.EQ(RobotGameScores3[[#This Row],[Highest Combined Score]],CombinedMatchScore))</f>
        <v>7</v>
      </c>
      <c r="O8" s="49"/>
    </row>
    <row r="9" spans="1:15" ht="21" customHeight="1" x14ac:dyDescent="0.25">
      <c r="A9">
        <v>8</v>
      </c>
      <c r="B9">
        <v>1</v>
      </c>
      <c r="C9" s="12">
        <v>26466</v>
      </c>
      <c r="D9" s="15" t="s">
        <v>58</v>
      </c>
      <c r="E9" s="12">
        <v>235</v>
      </c>
      <c r="F9" s="15" t="s">
        <v>54</v>
      </c>
      <c r="G9">
        <f>VLOOKUP(RobotGameScores3[[#This Row],[Blue Team Number]],'Game Scores'!$B:$I,2+COUNTIF($C$2:E9,C9),FALSE)</f>
        <v>54</v>
      </c>
      <c r="H9">
        <f>VLOOKUP(RobotGameScores3[[#This Row],[Red Team Number]],'Game Scores'!$B:$I,2+COUNTIF($C$2:E9,E9),FALSE)</f>
        <v>154</v>
      </c>
      <c r="I9" s="50">
        <f>IF(SUM(RobotGameScores3[[#This Row],[Blue Team Score]:[Red Team Score]])=0,"",SUM(RobotGameScores3[[#This Row],[Blue Team Score]:[Red Team Score]]))</f>
        <v>208</v>
      </c>
      <c r="J9" s="50">
        <f>IF(RobotGameScores3[[#This Row],[Blue Team Number]]="","",_xlfn.RANK.EQ(RobotGameScores3[[#This Row],[Highest Combined Score]],CombinedMatchScore))</f>
        <v>1</v>
      </c>
      <c r="O9" s="49"/>
    </row>
    <row r="10" spans="1:15" ht="21" customHeight="1" x14ac:dyDescent="0.25">
      <c r="A10">
        <v>9</v>
      </c>
      <c r="C10" s="12">
        <v>26466</v>
      </c>
      <c r="D10" s="20"/>
      <c r="F10" s="20"/>
      <c r="G10">
        <f>VLOOKUP(RobotGameScores3[[#This Row],[Blue Team Number]],'Game Scores'!$B:$I,2+COUNTIF($C$2:E10,C10),FALSE)</f>
        <v>86</v>
      </c>
      <c r="H10" t="str">
        <f>VLOOKUP(RobotGameScores3[[#This Row],[Red Team Number]],'Game Scores'!$B:$I,2+COUNTIF($C$2:E10,E10),FALSE)</f>
        <v/>
      </c>
      <c r="I10" s="50">
        <f>IF(SUM(RobotGameScores3[[#This Row],[Blue Team Score]:[Red Team Score]])=0,"",SUM(RobotGameScores3[[#This Row],[Blue Team Score]:[Red Team Score]]))</f>
        <v>86</v>
      </c>
      <c r="J10" s="50">
        <f>IF(RobotGameScores3[[#This Row],[Blue Team Number]]="","",_xlfn.RANK.EQ(RobotGameScores3[[#This Row],[Highest Combined Score]],CombinedMatchScore))</f>
        <v>6</v>
      </c>
      <c r="O10" s="49"/>
    </row>
    <row r="11" spans="1:15" ht="21" customHeight="1" x14ac:dyDescent="0.25">
      <c r="A11">
        <v>10</v>
      </c>
      <c r="C11" s="12">
        <v>26466</v>
      </c>
      <c r="D11" s="20"/>
      <c r="F11" s="20"/>
      <c r="G11">
        <f>VLOOKUP(RobotGameScores3[[#This Row],[Blue Team Number]],'Game Scores'!$B:$I,2+COUNTIF($C$2:E11,C11),FALSE)</f>
        <v>4</v>
      </c>
      <c r="H11" t="str">
        <f>VLOOKUP(RobotGameScores3[[#This Row],[Red Team Number]],'Game Scores'!$B:$I,2+COUNTIF($C$2:E11,E11),FALSE)</f>
        <v/>
      </c>
      <c r="I11" s="50">
        <f>IF(SUM(RobotGameScores3[[#This Row],[Blue Team Score]:[Red Team Score]])=0,"",SUM(RobotGameScores3[[#This Row],[Blue Team Score]:[Red Team Score]]))</f>
        <v>4</v>
      </c>
      <c r="J11" s="50">
        <f>IF(RobotGameScores3[[#This Row],[Blue Team Number]]="","",_xlfn.RANK.EQ(RobotGameScores3[[#This Row],[Highest Combined Score]],CombinedMatchScore))</f>
        <v>12</v>
      </c>
      <c r="O11" s="49"/>
    </row>
    <row r="12" spans="1:15" ht="21" customHeight="1" x14ac:dyDescent="0.25">
      <c r="A12">
        <v>11</v>
      </c>
      <c r="C12" s="12">
        <v>26466</v>
      </c>
      <c r="D12" s="20"/>
      <c r="F12" s="20"/>
      <c r="G12">
        <f>VLOOKUP(RobotGameScores3[[#This Row],[Blue Team Number]],'Game Scores'!$B:$I,2+COUNTIF($C$2:E12,C12),FALSE)</f>
        <v>5</v>
      </c>
      <c r="H12" t="str">
        <f>VLOOKUP(RobotGameScores3[[#This Row],[Red Team Number]],'Game Scores'!$B:$I,2+COUNTIF($C$2:E12,E12),FALSE)</f>
        <v/>
      </c>
      <c r="I12" s="50">
        <f>IF(SUM(RobotGameScores3[[#This Row],[Blue Team Score]:[Red Team Score]])=0,"",SUM(RobotGameScores3[[#This Row],[Blue Team Score]:[Red Team Score]]))</f>
        <v>5</v>
      </c>
      <c r="J12" s="50">
        <f>IF(RobotGameScores3[[#This Row],[Blue Team Number]]="","",_xlfn.RANK.EQ(RobotGameScores3[[#This Row],[Highest Combined Score]],CombinedMatchScore))</f>
        <v>11</v>
      </c>
      <c r="O12" s="49"/>
    </row>
    <row r="13" spans="1:15" ht="21" customHeight="1" x14ac:dyDescent="0.25">
      <c r="A13">
        <v>12</v>
      </c>
      <c r="C13" s="12">
        <v>26466</v>
      </c>
      <c r="D13" s="20"/>
      <c r="F13" s="20"/>
      <c r="G13">
        <f>VLOOKUP(RobotGameScores3[[#This Row],[Blue Team Number]],'Game Scores'!$B:$I,2+COUNTIF($C$2:E13,C13),FALSE)</f>
        <v>6</v>
      </c>
      <c r="H13" t="str">
        <f>VLOOKUP(RobotGameScores3[[#This Row],[Red Team Number]],'Game Scores'!$B:$I,2+COUNTIF($C$2:E13,E13),FALSE)</f>
        <v/>
      </c>
      <c r="I13" s="50">
        <f>IF(SUM(RobotGameScores3[[#This Row],[Blue Team Score]:[Red Team Score]])=0,"",SUM(RobotGameScores3[[#This Row],[Blue Team Score]:[Red Team Score]]))</f>
        <v>6</v>
      </c>
      <c r="J13" s="50">
        <f>IF(RobotGameScores3[[#This Row],[Blue Team Number]]="","",_xlfn.RANK.EQ(RobotGameScores3[[#This Row],[Highest Combined Score]],CombinedMatchScore))</f>
        <v>10</v>
      </c>
      <c r="O13" s="49"/>
    </row>
    <row r="14" spans="1:15" ht="21" customHeight="1" x14ac:dyDescent="0.25">
      <c r="A14">
        <v>13</v>
      </c>
      <c r="C14" s="8"/>
      <c r="D14" s="20"/>
      <c r="F14" s="20"/>
      <c r="G14" t="str">
        <f>VLOOKUP(RobotGameScores3[[#This Row],[Blue Team Number]],'Game Scores'!$B:$I,2+COUNTIF($C$2:E14,C14),FALSE)</f>
        <v/>
      </c>
      <c r="H14" t="str">
        <f>VLOOKUP(RobotGameScores3[[#This Row],[Red Team Number]],'Game Scores'!$B:$I,2+COUNTIF($C$2:E14,E14),FALSE)</f>
        <v/>
      </c>
      <c r="I14" s="50" t="str">
        <f>IF(SUM(RobotGameScores3[[#This Row],[Blue Team Score]:[Red Team Score]])=0,"",SUM(RobotGameScores3[[#This Row],[Blue Team Score]:[Red Team Score]]))</f>
        <v/>
      </c>
      <c r="J14" s="50" t="str">
        <f>IF(RobotGameScores3[[#This Row],[Blue Team Number]]="","",_xlfn.RANK.EQ(RobotGameScores3[[#This Row],[Highest Combined Score]],CombinedMatchScore))</f>
        <v/>
      </c>
    </row>
    <row r="15" spans="1:15" ht="21" customHeight="1" x14ac:dyDescent="0.25">
      <c r="A15">
        <v>14</v>
      </c>
      <c r="C15" s="8"/>
      <c r="D15" s="20"/>
      <c r="F15" s="20"/>
      <c r="G15" t="str">
        <f>VLOOKUP(RobotGameScores3[[#This Row],[Blue Team Number]],'Game Scores'!$B:$I,2+COUNTIF($C$2:E15,C15),FALSE)</f>
        <v/>
      </c>
      <c r="H15" t="str">
        <f>VLOOKUP(RobotGameScores3[[#This Row],[Red Team Number]],'Game Scores'!$B:$I,2+COUNTIF($C$2:E15,E15),FALSE)</f>
        <v/>
      </c>
      <c r="I15" s="50" t="str">
        <f>IF(SUM(RobotGameScores3[[#This Row],[Blue Team Score]:[Red Team Score]])=0,"",SUM(RobotGameScores3[[#This Row],[Blue Team Score]:[Red Team Score]]))</f>
        <v/>
      </c>
      <c r="J15" s="50" t="str">
        <f>IF(RobotGameScores3[[#This Row],[Blue Team Number]]="","",_xlfn.RANK.EQ(RobotGameScores3[[#This Row],[Highest Combined Score]],CombinedMatchScore))</f>
        <v/>
      </c>
    </row>
    <row r="16" spans="1:15" ht="21" customHeight="1" x14ac:dyDescent="0.25">
      <c r="A16">
        <v>15</v>
      </c>
      <c r="C16" s="8"/>
      <c r="D16" s="20"/>
      <c r="F16" s="20"/>
      <c r="G16" t="str">
        <f>VLOOKUP(RobotGameScores3[[#This Row],[Blue Team Number]],'Game Scores'!$B:$I,2+COUNTIF($C$2:E16,C16),FALSE)</f>
        <v/>
      </c>
      <c r="H16" t="str">
        <f>VLOOKUP(RobotGameScores3[[#This Row],[Red Team Number]],'Game Scores'!$B:$I,2+COUNTIF($C$2:E16,E16),FALSE)</f>
        <v/>
      </c>
      <c r="I16" s="50" t="str">
        <f>IF(SUM(RobotGameScores3[[#This Row],[Blue Team Score]:[Red Team Score]])=0,"",SUM(RobotGameScores3[[#This Row],[Blue Team Score]:[Red Team Score]]))</f>
        <v/>
      </c>
      <c r="J16" s="50" t="str">
        <f>IF(RobotGameScores3[[#This Row],[Blue Team Number]]="","",_xlfn.RANK.EQ(RobotGameScores3[[#This Row],[Highest Combined Score]],CombinedMatchScore))</f>
        <v/>
      </c>
    </row>
    <row r="17" spans="1:10" ht="21" customHeight="1" x14ac:dyDescent="0.25">
      <c r="A17">
        <v>16</v>
      </c>
      <c r="C17" s="8"/>
      <c r="D17" s="20"/>
      <c r="F17" s="20"/>
      <c r="G17" t="str">
        <f>VLOOKUP(RobotGameScores3[[#This Row],[Blue Team Number]],'Game Scores'!$B:$I,2+COUNTIF($C$2:E17,C17),FALSE)</f>
        <v/>
      </c>
      <c r="H17" t="str">
        <f>VLOOKUP(RobotGameScores3[[#This Row],[Red Team Number]],'Game Scores'!$B:$I,2+COUNTIF($C$2:E17,E17),FALSE)</f>
        <v/>
      </c>
      <c r="I17" s="50" t="str">
        <f>IF(SUM(RobotGameScores3[[#This Row],[Blue Team Score]:[Red Team Score]])=0,"",SUM(RobotGameScores3[[#This Row],[Blue Team Score]:[Red Team Score]]))</f>
        <v/>
      </c>
      <c r="J17" s="50" t="str">
        <f>IF(RobotGameScores3[[#This Row],[Blue Team Number]]="","",_xlfn.RANK.EQ(RobotGameScores3[[#This Row],[Highest Combined Score]],CombinedMatchScore))</f>
        <v/>
      </c>
    </row>
    <row r="18" spans="1:10" ht="21" customHeight="1" x14ac:dyDescent="0.25">
      <c r="A18">
        <v>17</v>
      </c>
      <c r="C18" s="8"/>
      <c r="D18" s="20"/>
      <c r="F18" s="20"/>
      <c r="G18" t="str">
        <f>VLOOKUP(RobotGameScores3[[#This Row],[Blue Team Number]],'Game Scores'!$B:$I,2+COUNTIF($C$2:E18,C18),FALSE)</f>
        <v/>
      </c>
      <c r="H18" t="str">
        <f>VLOOKUP(RobotGameScores3[[#This Row],[Red Team Number]],'Game Scores'!$B:$I,2+COUNTIF($C$2:E18,E18),FALSE)</f>
        <v/>
      </c>
      <c r="I18" s="50" t="str">
        <f>IF(SUM(RobotGameScores3[[#This Row],[Blue Team Score]:[Red Team Score]])=0,"",SUM(RobotGameScores3[[#This Row],[Blue Team Score]:[Red Team Score]]))</f>
        <v/>
      </c>
      <c r="J18" s="50" t="str">
        <f>IF(RobotGameScores3[[#This Row],[Blue Team Number]]="","",_xlfn.RANK.EQ(RobotGameScores3[[#This Row],[Highest Combined Score]],CombinedMatchScore))</f>
        <v/>
      </c>
    </row>
    <row r="19" spans="1:10" ht="21" customHeight="1" x14ac:dyDescent="0.25">
      <c r="A19">
        <v>18</v>
      </c>
      <c r="C19" s="8"/>
      <c r="D19" s="20"/>
      <c r="F19" s="20"/>
      <c r="G19" t="str">
        <f>VLOOKUP(RobotGameScores3[[#This Row],[Blue Team Number]],'Game Scores'!$B:$I,2+COUNTIF($C$2:E19,C19),FALSE)</f>
        <v/>
      </c>
      <c r="H19" t="str">
        <f>VLOOKUP(RobotGameScores3[[#This Row],[Red Team Number]],'Game Scores'!$B:$I,2+COUNTIF($C$2:E19,E19),FALSE)</f>
        <v/>
      </c>
      <c r="I19" s="50" t="str">
        <f>IF(SUM(RobotGameScores3[[#This Row],[Blue Team Score]:[Red Team Score]])=0,"",SUM(RobotGameScores3[[#This Row],[Blue Team Score]:[Red Team Score]]))</f>
        <v/>
      </c>
      <c r="J19" s="50" t="str">
        <f>IF(RobotGameScores3[[#This Row],[Blue Team Number]]="","",_xlfn.RANK.EQ(RobotGameScores3[[#This Row],[Highest Combined Score]],CombinedMatchScore))</f>
        <v/>
      </c>
    </row>
    <row r="20" spans="1:10" ht="21" customHeight="1" x14ac:dyDescent="0.25">
      <c r="A20">
        <v>19</v>
      </c>
      <c r="C20" s="8"/>
      <c r="D20" s="20"/>
      <c r="F20" s="20"/>
      <c r="G20" t="str">
        <f>VLOOKUP(RobotGameScores3[[#This Row],[Blue Team Number]],'Game Scores'!$B:$I,2+COUNTIF($C$2:E20,C20),FALSE)</f>
        <v/>
      </c>
      <c r="H20" t="str">
        <f>VLOOKUP(RobotGameScores3[[#This Row],[Red Team Number]],'Game Scores'!$B:$I,2+COUNTIF($C$2:E20,E20),FALSE)</f>
        <v/>
      </c>
      <c r="I20" s="50" t="str">
        <f>IF(SUM(RobotGameScores3[[#This Row],[Blue Team Score]:[Red Team Score]])=0,"",SUM(RobotGameScores3[[#This Row],[Blue Team Score]:[Red Team Score]]))</f>
        <v/>
      </c>
      <c r="J20" s="50" t="str">
        <f>IF(RobotGameScores3[[#This Row],[Blue Team Number]]="","",_xlfn.RANK.EQ(RobotGameScores3[[#This Row],[Highest Combined Score]],CombinedMatchScore))</f>
        <v/>
      </c>
    </row>
    <row r="21" spans="1:10" ht="21" customHeight="1" x14ac:dyDescent="0.25">
      <c r="A21">
        <v>20</v>
      </c>
      <c r="C21" s="8"/>
      <c r="D21" s="20"/>
      <c r="F21" s="20"/>
      <c r="G21" t="str">
        <f>VLOOKUP(RobotGameScores3[[#This Row],[Blue Team Number]],'Game Scores'!$B:$I,2+COUNTIF($C$2:E21,C21),FALSE)</f>
        <v/>
      </c>
      <c r="H21" t="str">
        <f>VLOOKUP(RobotGameScores3[[#This Row],[Red Team Number]],'Game Scores'!$B:$I,2+COUNTIF($C$2:E21,E21),FALSE)</f>
        <v/>
      </c>
      <c r="I21" s="50" t="str">
        <f>IF(SUM(RobotGameScores3[[#This Row],[Blue Team Score]:[Red Team Score]])=0,"",SUM(RobotGameScores3[[#This Row],[Blue Team Score]:[Red Team Score]]))</f>
        <v/>
      </c>
      <c r="J21" s="50" t="str">
        <f>IF(RobotGameScores3[[#This Row],[Blue Team Number]]="","",_xlfn.RANK.EQ(RobotGameScores3[[#This Row],[Highest Combined Score]],CombinedMatchScore))</f>
        <v/>
      </c>
    </row>
    <row r="22" spans="1:10" ht="21" customHeight="1" x14ac:dyDescent="0.25">
      <c r="A22">
        <v>21</v>
      </c>
      <c r="C22" s="8"/>
      <c r="D22" s="20"/>
      <c r="F22" s="20"/>
      <c r="G22" t="str">
        <f>VLOOKUP(RobotGameScores3[[#This Row],[Blue Team Number]],'Game Scores'!$B:$I,2+COUNTIF($C$2:E22,C22),FALSE)</f>
        <v/>
      </c>
      <c r="H22" t="str">
        <f>VLOOKUP(RobotGameScores3[[#This Row],[Red Team Number]],'Game Scores'!$B:$I,2+COUNTIF($C$2:E22,E22),FALSE)</f>
        <v/>
      </c>
      <c r="I22" s="50" t="str">
        <f>IF(SUM(RobotGameScores3[[#This Row],[Blue Team Score]:[Red Team Score]])=0,"",SUM(RobotGameScores3[[#This Row],[Blue Team Score]:[Red Team Score]]))</f>
        <v/>
      </c>
      <c r="J22" s="50" t="str">
        <f>IF(RobotGameScores3[[#This Row],[Blue Team Number]]="","",_xlfn.RANK.EQ(RobotGameScores3[[#This Row],[Highest Combined Score]],CombinedMatchScore))</f>
        <v/>
      </c>
    </row>
    <row r="23" spans="1:10" ht="21" customHeight="1" x14ac:dyDescent="0.25">
      <c r="A23">
        <v>22</v>
      </c>
      <c r="C23" s="8"/>
      <c r="D23" s="20"/>
      <c r="F23" s="20"/>
      <c r="G23" t="str">
        <f>VLOOKUP(RobotGameScores3[[#This Row],[Blue Team Number]],'Game Scores'!$B:$I,2+COUNTIF($C$2:E23,C23),FALSE)</f>
        <v/>
      </c>
      <c r="H23" t="str">
        <f>VLOOKUP(RobotGameScores3[[#This Row],[Red Team Number]],'Game Scores'!$B:$I,2+COUNTIF($C$2:E23,E23),FALSE)</f>
        <v/>
      </c>
      <c r="I23" s="50" t="str">
        <f>IF(SUM(RobotGameScores3[[#This Row],[Blue Team Score]:[Red Team Score]])=0,"",SUM(RobotGameScores3[[#This Row],[Blue Team Score]:[Red Team Score]]))</f>
        <v/>
      </c>
      <c r="J23" s="50" t="str">
        <f>IF(RobotGameScores3[[#This Row],[Blue Team Number]]="","",_xlfn.RANK.EQ(RobotGameScores3[[#This Row],[Highest Combined Score]],CombinedMatchScore))</f>
        <v/>
      </c>
    </row>
    <row r="24" spans="1:10" ht="21" customHeight="1" x14ac:dyDescent="0.25">
      <c r="A24">
        <v>23</v>
      </c>
      <c r="C24" s="8"/>
      <c r="D24" s="20"/>
      <c r="F24" s="20"/>
      <c r="G24" t="str">
        <f>VLOOKUP(RobotGameScores3[[#This Row],[Blue Team Number]],'Game Scores'!$B:$I,2+COUNTIF($C$2:E24,C24),FALSE)</f>
        <v/>
      </c>
      <c r="H24" t="str">
        <f>VLOOKUP(RobotGameScores3[[#This Row],[Red Team Number]],'Game Scores'!$B:$I,2+COUNTIF($C$2:E24,E24),FALSE)</f>
        <v/>
      </c>
      <c r="I24" s="50" t="str">
        <f>IF(SUM(RobotGameScores3[[#This Row],[Blue Team Score]:[Red Team Score]])=0,"",SUM(RobotGameScores3[[#This Row],[Blue Team Score]:[Red Team Score]]))</f>
        <v/>
      </c>
      <c r="J24" s="50" t="str">
        <f>IF(RobotGameScores3[[#This Row],[Blue Team Number]]="","",_xlfn.RANK.EQ(RobotGameScores3[[#This Row],[Highest Combined Score]],CombinedMatchScore))</f>
        <v/>
      </c>
    </row>
    <row r="25" spans="1:10" ht="21" customHeight="1" x14ac:dyDescent="0.25">
      <c r="A25">
        <v>24</v>
      </c>
      <c r="C25" s="8"/>
      <c r="D25" s="20"/>
      <c r="F25" s="20"/>
      <c r="G25" t="str">
        <f>VLOOKUP(RobotGameScores3[[#This Row],[Blue Team Number]],'Game Scores'!$B:$I,2+COUNTIF($C$2:E25,C25),FALSE)</f>
        <v/>
      </c>
      <c r="H25" t="str">
        <f>VLOOKUP(RobotGameScores3[[#This Row],[Red Team Number]],'Game Scores'!$B:$I,2+COUNTIF($C$2:E25,E25),FALSE)</f>
        <v/>
      </c>
      <c r="I25" s="50" t="str">
        <f>IF(SUM(RobotGameScores3[[#This Row],[Blue Team Score]:[Red Team Score]])=0,"",SUM(RobotGameScores3[[#This Row],[Blue Team Score]:[Red Team Score]]))</f>
        <v/>
      </c>
      <c r="J25" s="50" t="str">
        <f>IF(RobotGameScores3[[#This Row],[Blue Team Number]]="","",_xlfn.RANK.EQ(RobotGameScores3[[#This Row],[Highest Combined Score]],CombinedMatchScore))</f>
        <v/>
      </c>
    </row>
    <row r="26" spans="1:10" ht="21" customHeight="1" x14ac:dyDescent="0.25">
      <c r="A26">
        <v>25</v>
      </c>
      <c r="C26" s="8"/>
      <c r="D26" s="20"/>
      <c r="F26" s="20"/>
      <c r="G26" t="str">
        <f>VLOOKUP(RobotGameScores3[[#This Row],[Blue Team Number]],'Game Scores'!$B:$I,2+COUNTIF($C$2:E26,C26),FALSE)</f>
        <v/>
      </c>
      <c r="H26" t="str">
        <f>VLOOKUP(RobotGameScores3[[#This Row],[Red Team Number]],'Game Scores'!$B:$I,2+COUNTIF($C$2:E26,E26),FALSE)</f>
        <v/>
      </c>
      <c r="I26" s="50" t="str">
        <f>IF(SUM(RobotGameScores3[[#This Row],[Blue Team Score]:[Red Team Score]])=0,"",SUM(RobotGameScores3[[#This Row],[Blue Team Score]:[Red Team Score]]))</f>
        <v/>
      </c>
      <c r="J26" s="50" t="str">
        <f>IF(RobotGameScores3[[#This Row],[Blue Team Number]]="","",_xlfn.RANK.EQ(RobotGameScores3[[#This Row],[Highest Combined Score]],CombinedMatchScore))</f>
        <v/>
      </c>
    </row>
    <row r="27" spans="1:10" ht="21" customHeight="1" x14ac:dyDescent="0.25">
      <c r="A27">
        <v>26</v>
      </c>
      <c r="C27" s="8"/>
      <c r="D27" s="20"/>
      <c r="F27" s="20"/>
      <c r="G27" t="str">
        <f>VLOOKUP(RobotGameScores3[[#This Row],[Blue Team Number]],'Game Scores'!$B:$I,2+COUNTIF($C$2:E27,C27),FALSE)</f>
        <v/>
      </c>
      <c r="H27" t="str">
        <f>VLOOKUP(RobotGameScores3[[#This Row],[Red Team Number]],'Game Scores'!$B:$I,2+COUNTIF($C$2:E27,E27),FALSE)</f>
        <v/>
      </c>
      <c r="I27" s="50" t="str">
        <f>IF(SUM(RobotGameScores3[[#This Row],[Blue Team Score]:[Red Team Score]])=0,"",SUM(RobotGameScores3[[#This Row],[Blue Team Score]:[Red Team Score]]))</f>
        <v/>
      </c>
      <c r="J27" s="50" t="str">
        <f>IF(RobotGameScores3[[#This Row],[Blue Team Number]]="","",_xlfn.RANK.EQ(RobotGameScores3[[#This Row],[Highest Combined Score]],CombinedMatchScore))</f>
        <v/>
      </c>
    </row>
    <row r="28" spans="1:10" ht="21" customHeight="1" x14ac:dyDescent="0.25">
      <c r="A28">
        <v>27</v>
      </c>
      <c r="C28" s="8"/>
      <c r="D28" s="20"/>
      <c r="F28" s="20"/>
      <c r="G28" t="str">
        <f>VLOOKUP(RobotGameScores3[[#This Row],[Blue Team Number]],'Game Scores'!$B:$I,2+COUNTIF($C$2:E28,C28),FALSE)</f>
        <v/>
      </c>
      <c r="H28" t="str">
        <f>VLOOKUP(RobotGameScores3[[#This Row],[Red Team Number]],'Game Scores'!$B:$I,2+COUNTIF($C$2:E28,E28),FALSE)</f>
        <v/>
      </c>
      <c r="I28" s="50" t="str">
        <f>IF(SUM(RobotGameScores3[[#This Row],[Blue Team Score]:[Red Team Score]])=0,"",SUM(RobotGameScores3[[#This Row],[Blue Team Score]:[Red Team Score]]))</f>
        <v/>
      </c>
      <c r="J28" s="50" t="str">
        <f>IF(RobotGameScores3[[#This Row],[Blue Team Number]]="","",_xlfn.RANK.EQ(RobotGameScores3[[#This Row],[Highest Combined Score]],CombinedMatchScore))</f>
        <v/>
      </c>
    </row>
    <row r="29" spans="1:10" ht="21" customHeight="1" x14ac:dyDescent="0.25">
      <c r="A29">
        <v>28</v>
      </c>
      <c r="C29" s="8"/>
      <c r="D29" s="20"/>
      <c r="F29" s="20"/>
      <c r="G29" t="str">
        <f>VLOOKUP(RobotGameScores3[[#This Row],[Blue Team Number]],'Game Scores'!$B:$I,2+COUNTIF($C$2:E29,C29),FALSE)</f>
        <v/>
      </c>
      <c r="H29" t="str">
        <f>VLOOKUP(RobotGameScores3[[#This Row],[Red Team Number]],'Game Scores'!$B:$I,2+COUNTIF($C$2:E29,E29),FALSE)</f>
        <v/>
      </c>
      <c r="I29" s="50" t="str">
        <f>IF(SUM(RobotGameScores3[[#This Row],[Blue Team Score]:[Red Team Score]])=0,"",SUM(RobotGameScores3[[#This Row],[Blue Team Score]:[Red Team Score]]))</f>
        <v/>
      </c>
      <c r="J29" s="50" t="str">
        <f>IF(RobotGameScores3[[#This Row],[Blue Team Number]]="","",_xlfn.RANK.EQ(RobotGameScores3[[#This Row],[Highest Combined Score]],CombinedMatchScore))</f>
        <v/>
      </c>
    </row>
    <row r="30" spans="1:10" ht="21" customHeight="1" x14ac:dyDescent="0.25">
      <c r="A30">
        <v>29</v>
      </c>
      <c r="C30" s="8"/>
      <c r="D30" s="20"/>
      <c r="F30" s="20"/>
      <c r="G30" t="str">
        <f>VLOOKUP(RobotGameScores3[[#This Row],[Blue Team Number]],'Game Scores'!$B:$I,2+COUNTIF($C$2:E30,C30),FALSE)</f>
        <v/>
      </c>
      <c r="H30" t="str">
        <f>VLOOKUP(RobotGameScores3[[#This Row],[Red Team Number]],'Game Scores'!$B:$I,2+COUNTIF($C$2:E30,E30),FALSE)</f>
        <v/>
      </c>
      <c r="I30" s="50" t="str">
        <f>IF(SUM(RobotGameScores3[[#This Row],[Blue Team Score]:[Red Team Score]])=0,"",SUM(RobotGameScores3[[#This Row],[Blue Team Score]:[Red Team Score]]))</f>
        <v/>
      </c>
      <c r="J30" s="50" t="str">
        <f>IF(RobotGameScores3[[#This Row],[Blue Team Number]]="","",_xlfn.RANK.EQ(RobotGameScores3[[#This Row],[Highest Combined Score]],CombinedMatchScore))</f>
        <v/>
      </c>
    </row>
    <row r="31" spans="1:10" ht="21" customHeight="1" x14ac:dyDescent="0.25">
      <c r="A31">
        <v>30</v>
      </c>
      <c r="C31" s="8"/>
      <c r="D31" s="20"/>
      <c r="F31" s="20"/>
      <c r="G31" t="str">
        <f>VLOOKUP(RobotGameScores3[[#This Row],[Blue Team Number]],'Game Scores'!$B:$I,2+COUNTIF($C$2:E31,C31),FALSE)</f>
        <v/>
      </c>
      <c r="H31" t="str">
        <f>VLOOKUP(RobotGameScores3[[#This Row],[Red Team Number]],'Game Scores'!$B:$I,2+COUNTIF($C$2:E31,E31),FALSE)</f>
        <v/>
      </c>
      <c r="I31" s="50" t="str">
        <f>IF(SUM(RobotGameScores3[[#This Row],[Blue Team Score]:[Red Team Score]])=0,"",SUM(RobotGameScores3[[#This Row],[Blue Team Score]:[Red Team Score]]))</f>
        <v/>
      </c>
      <c r="J31" s="50" t="str">
        <f>IF(RobotGameScores3[[#This Row],[Blue Team Number]]="","",_xlfn.RANK.EQ(RobotGameScores3[[#This Row],[Highest Combined Score]],CombinedMatchScore))</f>
        <v/>
      </c>
    </row>
    <row r="32" spans="1:10" ht="21" customHeight="1" x14ac:dyDescent="0.25">
      <c r="A32">
        <v>31</v>
      </c>
      <c r="C32" s="8"/>
      <c r="D32" s="20"/>
      <c r="F32" s="20"/>
      <c r="G32" t="str">
        <f>VLOOKUP(RobotGameScores3[[#This Row],[Blue Team Number]],'Game Scores'!$B:$I,2+COUNTIF($C$2:E32,C32),FALSE)</f>
        <v/>
      </c>
      <c r="H32" t="str">
        <f>VLOOKUP(RobotGameScores3[[#This Row],[Red Team Number]],'Game Scores'!$B:$I,2+COUNTIF($C$2:E32,E32),FALSE)</f>
        <v/>
      </c>
      <c r="I32" s="50" t="str">
        <f>IF(SUM(RobotGameScores3[[#This Row],[Blue Team Score]:[Red Team Score]])=0,"",SUM(RobotGameScores3[[#This Row],[Blue Team Score]:[Red Team Score]]))</f>
        <v/>
      </c>
      <c r="J32" s="50" t="str">
        <f>IF(RobotGameScores3[[#This Row],[Blue Team Number]]="","",_xlfn.RANK.EQ(RobotGameScores3[[#This Row],[Highest Combined Score]],CombinedMatchScore))</f>
        <v/>
      </c>
    </row>
    <row r="33" spans="1:10" ht="21" customHeight="1" x14ac:dyDescent="0.25">
      <c r="A33">
        <v>32</v>
      </c>
      <c r="C33" s="8"/>
      <c r="D33" s="20"/>
      <c r="F33" s="20"/>
      <c r="G33" t="str">
        <f>VLOOKUP(RobotGameScores3[[#This Row],[Blue Team Number]],'Game Scores'!$B:$I,2+COUNTIF($C$2:E33,C33),FALSE)</f>
        <v/>
      </c>
      <c r="H33" t="str">
        <f>VLOOKUP(RobotGameScores3[[#This Row],[Red Team Number]],'Game Scores'!$B:$I,2+COUNTIF($C$2:E33,E33),FALSE)</f>
        <v/>
      </c>
      <c r="I33" s="50" t="str">
        <f>IF(SUM(RobotGameScores3[[#This Row],[Blue Team Score]:[Red Team Score]])=0,"",SUM(RobotGameScores3[[#This Row],[Blue Team Score]:[Red Team Score]]))</f>
        <v/>
      </c>
      <c r="J33" s="50" t="str">
        <f>IF(RobotGameScores3[[#This Row],[Blue Team Number]]="","",_xlfn.RANK.EQ(RobotGameScores3[[#This Row],[Highest Combined Score]],CombinedMatchScore))</f>
        <v/>
      </c>
    </row>
    <row r="34" spans="1:10" ht="21" customHeight="1" x14ac:dyDescent="0.25">
      <c r="A34">
        <v>33</v>
      </c>
      <c r="C34" s="8"/>
      <c r="D34" s="20"/>
      <c r="F34" s="20"/>
      <c r="G34" t="str">
        <f>VLOOKUP(RobotGameScores3[[#This Row],[Blue Team Number]],'Game Scores'!$B:$I,2+COUNTIF($C$2:E34,C34),FALSE)</f>
        <v/>
      </c>
      <c r="H34" t="str">
        <f>VLOOKUP(RobotGameScores3[[#This Row],[Red Team Number]],'Game Scores'!$B:$I,2+COUNTIF($C$2:E34,E34),FALSE)</f>
        <v/>
      </c>
      <c r="I34" s="50" t="str">
        <f>IF(SUM(RobotGameScores3[[#This Row],[Blue Team Score]:[Red Team Score]])=0,"",SUM(RobotGameScores3[[#This Row],[Blue Team Score]:[Red Team Score]]))</f>
        <v/>
      </c>
      <c r="J34" s="50" t="str">
        <f>IF(RobotGameScores3[[#This Row],[Blue Team Number]]="","",_xlfn.RANK.EQ(RobotGameScores3[[#This Row],[Highest Combined Score]],CombinedMatchScore))</f>
        <v/>
      </c>
    </row>
    <row r="35" spans="1:10" ht="21" customHeight="1" x14ac:dyDescent="0.25">
      <c r="A35">
        <v>34</v>
      </c>
      <c r="C35" s="8"/>
      <c r="D35" s="20"/>
      <c r="F35" s="20"/>
      <c r="G35" t="str">
        <f>VLOOKUP(RobotGameScores3[[#This Row],[Blue Team Number]],'Game Scores'!$B:$I,2+COUNTIF($C$2:E35,C35),FALSE)</f>
        <v/>
      </c>
      <c r="H35" t="str">
        <f>VLOOKUP(RobotGameScores3[[#This Row],[Red Team Number]],'Game Scores'!$B:$I,2+COUNTIF($C$2:E35,E35),FALSE)</f>
        <v/>
      </c>
      <c r="I35" s="50" t="str">
        <f>IF(SUM(RobotGameScores3[[#This Row],[Blue Team Score]:[Red Team Score]])=0,"",SUM(RobotGameScores3[[#This Row],[Blue Team Score]:[Red Team Score]]))</f>
        <v/>
      </c>
      <c r="J35" s="50" t="str">
        <f>IF(RobotGameScores3[[#This Row],[Blue Team Number]]="","",_xlfn.RANK.EQ(RobotGameScores3[[#This Row],[Highest Combined Score]],CombinedMatchScore))</f>
        <v/>
      </c>
    </row>
    <row r="36" spans="1:10" ht="21" customHeight="1" x14ac:dyDescent="0.25">
      <c r="A36">
        <v>35</v>
      </c>
      <c r="C36" s="8"/>
      <c r="D36" s="20"/>
      <c r="F36" s="20"/>
      <c r="G36" t="str">
        <f>VLOOKUP(RobotGameScores3[[#This Row],[Blue Team Number]],'Game Scores'!$B:$I,2+COUNTIF($C$2:E36,C36),FALSE)</f>
        <v/>
      </c>
      <c r="H36" t="str">
        <f>VLOOKUP(RobotGameScores3[[#This Row],[Red Team Number]],'Game Scores'!$B:$I,2+COUNTIF($C$2:E36,E36),FALSE)</f>
        <v/>
      </c>
      <c r="I36" s="50" t="str">
        <f>IF(SUM(RobotGameScores3[[#This Row],[Blue Team Score]:[Red Team Score]])=0,"",SUM(RobotGameScores3[[#This Row],[Blue Team Score]:[Red Team Score]]))</f>
        <v/>
      </c>
      <c r="J36" s="50" t="str">
        <f>IF(RobotGameScores3[[#This Row],[Blue Team Number]]="","",_xlfn.RANK.EQ(RobotGameScores3[[#This Row],[Highest Combined Score]],CombinedMatchScore))</f>
        <v/>
      </c>
    </row>
    <row r="37" spans="1:10" ht="21" customHeight="1" x14ac:dyDescent="0.25">
      <c r="A37">
        <v>36</v>
      </c>
      <c r="C37" s="8"/>
      <c r="D37" s="20"/>
      <c r="F37" s="20"/>
      <c r="G37" t="str">
        <f>VLOOKUP(RobotGameScores3[[#This Row],[Blue Team Number]],'Game Scores'!$B:$I,2+COUNTIF($C$2:E37,C37),FALSE)</f>
        <v/>
      </c>
      <c r="H37" t="str">
        <f>VLOOKUP(RobotGameScores3[[#This Row],[Red Team Number]],'Game Scores'!$B:$I,2+COUNTIF($C$2:E37,E37),FALSE)</f>
        <v/>
      </c>
      <c r="I37" s="50" t="str">
        <f>IF(SUM(RobotGameScores3[[#This Row],[Blue Team Score]:[Red Team Score]])=0,"",SUM(RobotGameScores3[[#This Row],[Blue Team Score]:[Red Team Score]]))</f>
        <v/>
      </c>
      <c r="J37" s="50" t="str">
        <f>IF(RobotGameScores3[[#This Row],[Blue Team Number]]="","",_xlfn.RANK.EQ(RobotGameScores3[[#This Row],[Highest Combined Score]],CombinedMatchScore))</f>
        <v/>
      </c>
    </row>
    <row r="38" spans="1:10" ht="21" customHeight="1" x14ac:dyDescent="0.25">
      <c r="A38">
        <v>37</v>
      </c>
      <c r="C38" s="8"/>
      <c r="D38" s="20"/>
      <c r="F38" s="20"/>
      <c r="G38" t="str">
        <f>VLOOKUP(RobotGameScores3[[#This Row],[Blue Team Number]],'Game Scores'!$B:$I,2+COUNTIF($C$2:E38,C38),FALSE)</f>
        <v/>
      </c>
      <c r="H38" t="str">
        <f>VLOOKUP(RobotGameScores3[[#This Row],[Red Team Number]],'Game Scores'!$B:$I,2+COUNTIF($C$2:E38,E38),FALSE)</f>
        <v/>
      </c>
      <c r="I38" s="50" t="str">
        <f>IF(SUM(RobotGameScores3[[#This Row],[Blue Team Score]:[Red Team Score]])=0,"",SUM(RobotGameScores3[[#This Row],[Blue Team Score]:[Red Team Score]]))</f>
        <v/>
      </c>
      <c r="J38" s="50" t="str">
        <f>IF(RobotGameScores3[[#This Row],[Blue Team Number]]="","",_xlfn.RANK.EQ(RobotGameScores3[[#This Row],[Highest Combined Score]],CombinedMatchScore))</f>
        <v/>
      </c>
    </row>
    <row r="39" spans="1:10" ht="21" customHeight="1" x14ac:dyDescent="0.25">
      <c r="A39">
        <v>38</v>
      </c>
      <c r="C39" s="8"/>
      <c r="D39" s="20"/>
      <c r="F39" s="20"/>
      <c r="G39" t="str">
        <f>VLOOKUP(RobotGameScores3[[#This Row],[Blue Team Number]],'Game Scores'!$B:$I,2+COUNTIF($C$2:E39,C39),FALSE)</f>
        <v/>
      </c>
      <c r="H39" t="str">
        <f>VLOOKUP(RobotGameScores3[[#This Row],[Red Team Number]],'Game Scores'!$B:$I,2+COUNTIF($C$2:E39,E39),FALSE)</f>
        <v/>
      </c>
      <c r="I39" s="50" t="str">
        <f>IF(SUM(RobotGameScores3[[#This Row],[Blue Team Score]:[Red Team Score]])=0,"",SUM(RobotGameScores3[[#This Row],[Blue Team Score]:[Red Team Score]]))</f>
        <v/>
      </c>
      <c r="J39" s="50" t="str">
        <f>IF(RobotGameScores3[[#This Row],[Blue Team Number]]="","",_xlfn.RANK.EQ(RobotGameScores3[[#This Row],[Highest Combined Score]],CombinedMatchScore))</f>
        <v/>
      </c>
    </row>
    <row r="40" spans="1:10" ht="21" customHeight="1" x14ac:dyDescent="0.25">
      <c r="A40">
        <v>39</v>
      </c>
      <c r="C40" s="8"/>
      <c r="D40" s="20"/>
      <c r="F40" s="20"/>
      <c r="G40" t="str">
        <f>VLOOKUP(RobotGameScores3[[#This Row],[Blue Team Number]],'Game Scores'!$B:$I,2+COUNTIF($C$2:E40,C40),FALSE)</f>
        <v/>
      </c>
      <c r="H40" t="str">
        <f>VLOOKUP(RobotGameScores3[[#This Row],[Red Team Number]],'Game Scores'!$B:$I,2+COUNTIF($C$2:E40,E40),FALSE)</f>
        <v/>
      </c>
      <c r="I40" s="50" t="str">
        <f>IF(SUM(RobotGameScores3[[#This Row],[Blue Team Score]:[Red Team Score]])=0,"",SUM(RobotGameScores3[[#This Row],[Blue Team Score]:[Red Team Score]]))</f>
        <v/>
      </c>
      <c r="J40" s="50" t="str">
        <f>IF(RobotGameScores3[[#This Row],[Blue Team Number]]="","",_xlfn.RANK.EQ(RobotGameScores3[[#This Row],[Highest Combined Score]],CombinedMatchScore))</f>
        <v/>
      </c>
    </row>
    <row r="41" spans="1:10" ht="21" customHeight="1" x14ac:dyDescent="0.25">
      <c r="A41">
        <v>40</v>
      </c>
      <c r="C41" s="8"/>
      <c r="D41" s="20"/>
      <c r="F41" s="20"/>
      <c r="G41" t="str">
        <f>VLOOKUP(RobotGameScores3[[#This Row],[Blue Team Number]],'Game Scores'!$B:$I,2+COUNTIF($C$2:E41,C41),FALSE)</f>
        <v/>
      </c>
      <c r="H41" t="str">
        <f>VLOOKUP(RobotGameScores3[[#This Row],[Red Team Number]],'Game Scores'!$B:$I,2+COUNTIF($C$2:E41,E41),FALSE)</f>
        <v/>
      </c>
      <c r="I41" s="50" t="str">
        <f>IF(SUM(RobotGameScores3[[#This Row],[Blue Team Score]:[Red Team Score]])=0,"",SUM(RobotGameScores3[[#This Row],[Blue Team Score]:[Red Team Score]]))</f>
        <v/>
      </c>
      <c r="J41" s="50" t="str">
        <f>IF(RobotGameScores3[[#This Row],[Blue Team Number]]="","",_xlfn.RANK.EQ(RobotGameScores3[[#This Row],[Highest Combined Score]],CombinedMatchScore))</f>
        <v/>
      </c>
    </row>
    <row r="42" spans="1:10" ht="21" customHeight="1" x14ac:dyDescent="0.25">
      <c r="A42">
        <v>41</v>
      </c>
      <c r="C42" s="8"/>
      <c r="D42" s="20"/>
      <c r="F42" s="20"/>
      <c r="G42" t="str">
        <f>VLOOKUP(RobotGameScores3[[#This Row],[Blue Team Number]],'Game Scores'!$B:$I,2+COUNTIF($C$2:E42,C42),FALSE)</f>
        <v/>
      </c>
      <c r="H42" t="str">
        <f>VLOOKUP(RobotGameScores3[[#This Row],[Red Team Number]],'Game Scores'!$B:$I,2+COUNTIF($C$2:E42,E42),FALSE)</f>
        <v/>
      </c>
      <c r="I42" s="50" t="str">
        <f>IF(SUM(RobotGameScores3[[#This Row],[Blue Team Score]:[Red Team Score]])=0,"",SUM(RobotGameScores3[[#This Row],[Blue Team Score]:[Red Team Score]]))</f>
        <v/>
      </c>
      <c r="J42" s="50" t="str">
        <f>IF(RobotGameScores3[[#This Row],[Blue Team Number]]="","",_xlfn.RANK.EQ(RobotGameScores3[[#This Row],[Highest Combined Score]],CombinedMatchScore))</f>
        <v/>
      </c>
    </row>
    <row r="43" spans="1:10" ht="21" customHeight="1" x14ac:dyDescent="0.25">
      <c r="A43">
        <v>42</v>
      </c>
      <c r="C43" s="8"/>
      <c r="D43" s="20"/>
      <c r="F43" s="20"/>
      <c r="G43" t="str">
        <f>VLOOKUP(RobotGameScores3[[#This Row],[Blue Team Number]],'Game Scores'!$B:$I,2+COUNTIF($C$2:E43,C43),FALSE)</f>
        <v/>
      </c>
      <c r="H43" t="str">
        <f>VLOOKUP(RobotGameScores3[[#This Row],[Red Team Number]],'Game Scores'!$B:$I,2+COUNTIF($C$2:E43,E43),FALSE)</f>
        <v/>
      </c>
      <c r="I43" s="50" t="str">
        <f>IF(SUM(RobotGameScores3[[#This Row],[Blue Team Score]:[Red Team Score]])=0,"",SUM(RobotGameScores3[[#This Row],[Blue Team Score]:[Red Team Score]]))</f>
        <v/>
      </c>
      <c r="J43" s="50" t="str">
        <f>IF(RobotGameScores3[[#This Row],[Blue Team Number]]="","",_xlfn.RANK.EQ(RobotGameScores3[[#This Row],[Highest Combined Score]],CombinedMatchScore))</f>
        <v/>
      </c>
    </row>
    <row r="44" spans="1:10" ht="21" customHeight="1" x14ac:dyDescent="0.25">
      <c r="A44">
        <v>43</v>
      </c>
      <c r="C44" s="8"/>
      <c r="D44" s="20"/>
      <c r="F44" s="20"/>
      <c r="G44" t="str">
        <f>VLOOKUP(RobotGameScores3[[#This Row],[Blue Team Number]],'Game Scores'!$B:$I,2+COUNTIF($C$2:E44,C44),FALSE)</f>
        <v/>
      </c>
      <c r="H44" t="str">
        <f>VLOOKUP(RobotGameScores3[[#This Row],[Red Team Number]],'Game Scores'!$B:$I,2+COUNTIF($C$2:E44,E44),FALSE)</f>
        <v/>
      </c>
      <c r="I44" s="50" t="str">
        <f>IF(SUM(RobotGameScores3[[#This Row],[Blue Team Score]:[Red Team Score]])=0,"",SUM(RobotGameScores3[[#This Row],[Blue Team Score]:[Red Team Score]]))</f>
        <v/>
      </c>
      <c r="J44" s="50" t="str">
        <f>IF(RobotGameScores3[[#This Row],[Blue Team Number]]="","",_xlfn.RANK.EQ(RobotGameScores3[[#This Row],[Highest Combined Score]],CombinedMatchScore))</f>
        <v/>
      </c>
    </row>
    <row r="45" spans="1:10" ht="21" customHeight="1" x14ac:dyDescent="0.25">
      <c r="A45">
        <v>44</v>
      </c>
      <c r="C45" s="8"/>
      <c r="D45" s="20"/>
      <c r="F45" s="20"/>
      <c r="G45" t="str">
        <f>VLOOKUP(RobotGameScores3[[#This Row],[Blue Team Number]],'Game Scores'!$B:$I,2+COUNTIF($C$2:E45,C45),FALSE)</f>
        <v/>
      </c>
      <c r="H45" t="str">
        <f>VLOOKUP(RobotGameScores3[[#This Row],[Red Team Number]],'Game Scores'!$B:$I,2+COUNTIF($C$2:E45,E45),FALSE)</f>
        <v/>
      </c>
      <c r="I45" s="50" t="str">
        <f>IF(SUM(RobotGameScores3[[#This Row],[Blue Team Score]:[Red Team Score]])=0,"",SUM(RobotGameScores3[[#This Row],[Blue Team Score]:[Red Team Score]]))</f>
        <v/>
      </c>
      <c r="J45" s="50" t="str">
        <f>IF(RobotGameScores3[[#This Row],[Blue Team Number]]="","",_xlfn.RANK.EQ(RobotGameScores3[[#This Row],[Highest Combined Score]],CombinedMatchScore))</f>
        <v/>
      </c>
    </row>
    <row r="46" spans="1:10" ht="21" customHeight="1" x14ac:dyDescent="0.25">
      <c r="A46">
        <v>45</v>
      </c>
      <c r="C46" s="8"/>
      <c r="D46" s="20"/>
      <c r="F46" s="20"/>
      <c r="G46" t="str">
        <f>VLOOKUP(RobotGameScores3[[#This Row],[Blue Team Number]],'Game Scores'!$B:$I,2+COUNTIF($C$2:E46,C46),FALSE)</f>
        <v/>
      </c>
      <c r="H46" t="str">
        <f>VLOOKUP(RobotGameScores3[[#This Row],[Red Team Number]],'Game Scores'!$B:$I,2+COUNTIF($C$2:E46,E46),FALSE)</f>
        <v/>
      </c>
      <c r="I46" s="50" t="str">
        <f>IF(SUM(RobotGameScores3[[#This Row],[Blue Team Score]:[Red Team Score]])=0,"",SUM(RobotGameScores3[[#This Row],[Blue Team Score]:[Red Team Score]]))</f>
        <v/>
      </c>
      <c r="J46" s="50" t="str">
        <f>IF(RobotGameScores3[[#This Row],[Blue Team Number]]="","",_xlfn.RANK.EQ(RobotGameScores3[[#This Row],[Highest Combined Score]],CombinedMatchScore))</f>
        <v/>
      </c>
    </row>
    <row r="47" spans="1:10" ht="21" customHeight="1" x14ac:dyDescent="0.25">
      <c r="A47">
        <v>46</v>
      </c>
      <c r="C47" s="8"/>
      <c r="D47" s="20"/>
      <c r="F47" s="20"/>
      <c r="G47" t="str">
        <f>VLOOKUP(RobotGameScores3[[#This Row],[Blue Team Number]],'Game Scores'!$B:$I,2+COUNTIF($C$2:E47,C47),FALSE)</f>
        <v/>
      </c>
      <c r="H47" t="str">
        <f>VLOOKUP(RobotGameScores3[[#This Row],[Red Team Number]],'Game Scores'!$B:$I,2+COUNTIF($C$2:E47,E47),FALSE)</f>
        <v/>
      </c>
      <c r="I47" s="50" t="str">
        <f>IF(SUM(RobotGameScores3[[#This Row],[Blue Team Score]:[Red Team Score]])=0,"",SUM(RobotGameScores3[[#This Row],[Blue Team Score]:[Red Team Score]]))</f>
        <v/>
      </c>
      <c r="J47" s="50" t="str">
        <f>IF(RobotGameScores3[[#This Row],[Blue Team Number]]="","",_xlfn.RANK.EQ(RobotGameScores3[[#This Row],[Highest Combined Score]],CombinedMatchScore))</f>
        <v/>
      </c>
    </row>
    <row r="48" spans="1:10" ht="21" customHeight="1" x14ac:dyDescent="0.25">
      <c r="A48">
        <v>47</v>
      </c>
      <c r="C48" s="8"/>
      <c r="D48" s="20"/>
      <c r="F48" s="20"/>
      <c r="G48" t="str">
        <f>VLOOKUP(RobotGameScores3[[#This Row],[Blue Team Number]],'Game Scores'!$B:$I,2+COUNTIF($C$2:E48,C48),FALSE)</f>
        <v/>
      </c>
      <c r="H48" t="str">
        <f>VLOOKUP(RobotGameScores3[[#This Row],[Red Team Number]],'Game Scores'!$B:$I,2+COUNTIF($C$2:E48,E48),FALSE)</f>
        <v/>
      </c>
      <c r="I48" s="50" t="str">
        <f>IF(SUM(RobotGameScores3[[#This Row],[Blue Team Score]:[Red Team Score]])=0,"",SUM(RobotGameScores3[[#This Row],[Blue Team Score]:[Red Team Score]]))</f>
        <v/>
      </c>
      <c r="J48" s="50" t="str">
        <f>IF(RobotGameScores3[[#This Row],[Blue Team Number]]="","",_xlfn.RANK.EQ(RobotGameScores3[[#This Row],[Highest Combined Score]],CombinedMatchScore))</f>
        <v/>
      </c>
    </row>
    <row r="49" spans="1:10" ht="21" customHeight="1" x14ac:dyDescent="0.25">
      <c r="A49">
        <v>48</v>
      </c>
      <c r="C49" s="8"/>
      <c r="D49" s="20"/>
      <c r="F49" s="20"/>
      <c r="G49" t="str">
        <f>VLOOKUP(RobotGameScores3[[#This Row],[Blue Team Number]],'Game Scores'!$B:$I,2+COUNTIF($C$2:E49,C49),FALSE)</f>
        <v/>
      </c>
      <c r="H49" t="str">
        <f>VLOOKUP(RobotGameScores3[[#This Row],[Red Team Number]],'Game Scores'!$B:$I,2+COUNTIF($C$2:E49,E49),FALSE)</f>
        <v/>
      </c>
      <c r="I49" s="50" t="str">
        <f>IF(SUM(RobotGameScores3[[#This Row],[Blue Team Score]:[Red Team Score]])=0,"",SUM(RobotGameScores3[[#This Row],[Blue Team Score]:[Red Team Score]]))</f>
        <v/>
      </c>
      <c r="J49" s="50" t="str">
        <f>IF(RobotGameScores3[[#This Row],[Blue Team Number]]="","",_xlfn.RANK.EQ(RobotGameScores3[[#This Row],[Highest Combined Score]],CombinedMatchScore))</f>
        <v/>
      </c>
    </row>
    <row r="50" spans="1:10" ht="21" customHeight="1" x14ac:dyDescent="0.25">
      <c r="A50">
        <v>49</v>
      </c>
      <c r="C50" s="8"/>
      <c r="D50" s="20"/>
      <c r="F50" s="20"/>
      <c r="G50" t="str">
        <f>VLOOKUP(RobotGameScores3[[#This Row],[Blue Team Number]],'Game Scores'!$B:$I,2+COUNTIF($C$2:E50,C50),FALSE)</f>
        <v/>
      </c>
      <c r="H50" t="str">
        <f>VLOOKUP(RobotGameScores3[[#This Row],[Red Team Number]],'Game Scores'!$B:$I,2+COUNTIF($C$2:E50,E50),FALSE)</f>
        <v/>
      </c>
      <c r="I50" s="50" t="str">
        <f>IF(SUM(RobotGameScores3[[#This Row],[Blue Team Score]:[Red Team Score]])=0,"",SUM(RobotGameScores3[[#This Row],[Blue Team Score]:[Red Team Score]]))</f>
        <v/>
      </c>
      <c r="J50" s="50" t="str">
        <f>IF(RobotGameScores3[[#This Row],[Blue Team Number]]="","",_xlfn.RANK.EQ(RobotGameScores3[[#This Row],[Highest Combined Score]],CombinedMatchScore))</f>
        <v/>
      </c>
    </row>
    <row r="51" spans="1:10" ht="21" customHeight="1" x14ac:dyDescent="0.25">
      <c r="A51">
        <v>50</v>
      </c>
      <c r="C51" s="8"/>
      <c r="D51" s="20"/>
      <c r="F51" s="20"/>
      <c r="G51" t="str">
        <f>VLOOKUP(RobotGameScores3[[#This Row],[Blue Team Number]],'Game Scores'!$B:$I,2+COUNTIF($C$2:E51,C51),FALSE)</f>
        <v/>
      </c>
      <c r="H51" t="str">
        <f>VLOOKUP(RobotGameScores3[[#This Row],[Red Team Number]],'Game Scores'!$B:$I,2+COUNTIF($C$2:E51,E51),FALSE)</f>
        <v/>
      </c>
      <c r="I51" s="50" t="str">
        <f>IF(SUM(RobotGameScores3[[#This Row],[Blue Team Score]:[Red Team Score]])=0,"",SUM(RobotGameScores3[[#This Row],[Blue Team Score]:[Red Team Score]]))</f>
        <v/>
      </c>
      <c r="J51" s="50" t="str">
        <f>IF(RobotGameScores3[[#This Row],[Blue Team Number]]="","",_xlfn.RANK.EQ(RobotGameScores3[[#This Row],[Highest Combined Score]],CombinedMatchScore))</f>
        <v/>
      </c>
    </row>
    <row r="52" spans="1:10" ht="21" customHeight="1" x14ac:dyDescent="0.25">
      <c r="A52">
        <v>51</v>
      </c>
      <c r="C52" s="8"/>
      <c r="D52" s="20"/>
      <c r="F52" s="20"/>
      <c r="G52" t="str">
        <f>VLOOKUP(RobotGameScores3[[#This Row],[Blue Team Number]],'Game Scores'!$B:$I,2+COUNTIF($C$2:E52,C52),FALSE)</f>
        <v/>
      </c>
      <c r="H52" t="str">
        <f>VLOOKUP(RobotGameScores3[[#This Row],[Red Team Number]],'Game Scores'!$B:$I,2+COUNTIF($C$2:E52,E52),FALSE)</f>
        <v/>
      </c>
      <c r="I52" s="50" t="str">
        <f>IF(SUM(RobotGameScores3[[#This Row],[Blue Team Score]:[Red Team Score]])=0,"",SUM(RobotGameScores3[[#This Row],[Blue Team Score]:[Red Team Score]]))</f>
        <v/>
      </c>
      <c r="J52" s="50" t="str">
        <f>IF(RobotGameScores3[[#This Row],[Blue Team Number]]="","",_xlfn.RANK.EQ(RobotGameScores3[[#This Row],[Highest Combined Score]],CombinedMatchScore))</f>
        <v/>
      </c>
    </row>
    <row r="53" spans="1:10" ht="21" customHeight="1" x14ac:dyDescent="0.25">
      <c r="A53">
        <v>52</v>
      </c>
      <c r="C53" s="8"/>
      <c r="D53" s="20"/>
      <c r="F53" s="20"/>
      <c r="G53" t="str">
        <f>VLOOKUP(RobotGameScores3[[#This Row],[Blue Team Number]],'Game Scores'!$B:$I,2+COUNTIF($C$2:E53,C53),FALSE)</f>
        <v/>
      </c>
      <c r="H53" t="str">
        <f>VLOOKUP(RobotGameScores3[[#This Row],[Red Team Number]],'Game Scores'!$B:$I,2+COUNTIF($C$2:E53,E53),FALSE)</f>
        <v/>
      </c>
      <c r="I53" s="50" t="str">
        <f>IF(SUM(RobotGameScores3[[#This Row],[Blue Team Score]:[Red Team Score]])=0,"",SUM(RobotGameScores3[[#This Row],[Blue Team Score]:[Red Team Score]]))</f>
        <v/>
      </c>
      <c r="J53" s="50" t="str">
        <f>IF(RobotGameScores3[[#This Row],[Blue Team Number]]="","",_xlfn.RANK.EQ(RobotGameScores3[[#This Row],[Highest Combined Score]],CombinedMatchScore))</f>
        <v/>
      </c>
    </row>
    <row r="54" spans="1:10" ht="21" customHeight="1" x14ac:dyDescent="0.25">
      <c r="A54">
        <v>53</v>
      </c>
      <c r="C54" s="8"/>
      <c r="D54" s="20"/>
      <c r="F54" s="20"/>
      <c r="G54" t="str">
        <f>VLOOKUP(RobotGameScores3[[#This Row],[Blue Team Number]],'Game Scores'!$B:$I,2+COUNTIF($C$2:E54,C54),FALSE)</f>
        <v/>
      </c>
      <c r="H54" t="str">
        <f>VLOOKUP(RobotGameScores3[[#This Row],[Red Team Number]],'Game Scores'!$B:$I,2+COUNTIF($C$2:E54,E54),FALSE)</f>
        <v/>
      </c>
      <c r="I54" s="50" t="str">
        <f>IF(SUM(RobotGameScores3[[#This Row],[Blue Team Score]:[Red Team Score]])=0,"",SUM(RobotGameScores3[[#This Row],[Blue Team Score]:[Red Team Score]]))</f>
        <v/>
      </c>
      <c r="J54" s="50" t="str">
        <f>IF(RobotGameScores3[[#This Row],[Blue Team Number]]="","",_xlfn.RANK.EQ(RobotGameScores3[[#This Row],[Highest Combined Score]],CombinedMatchScore))</f>
        <v/>
      </c>
    </row>
    <row r="55" spans="1:10" ht="21" customHeight="1" x14ac:dyDescent="0.25">
      <c r="A55">
        <v>54</v>
      </c>
      <c r="C55" s="8"/>
      <c r="D55" s="20"/>
      <c r="F55" s="20"/>
      <c r="G55" t="str">
        <f>VLOOKUP(RobotGameScores3[[#This Row],[Blue Team Number]],'Game Scores'!$B:$I,2+COUNTIF($C$2:E55,C55),FALSE)</f>
        <v/>
      </c>
      <c r="H55" t="str">
        <f>VLOOKUP(RobotGameScores3[[#This Row],[Red Team Number]],'Game Scores'!$B:$I,2+COUNTIF($C$2:E55,E55),FALSE)</f>
        <v/>
      </c>
      <c r="I55" s="50" t="str">
        <f>IF(SUM(RobotGameScores3[[#This Row],[Blue Team Score]:[Red Team Score]])=0,"",SUM(RobotGameScores3[[#This Row],[Blue Team Score]:[Red Team Score]]))</f>
        <v/>
      </c>
      <c r="J55" s="50" t="str">
        <f>IF(RobotGameScores3[[#This Row],[Blue Team Number]]="","",_xlfn.RANK.EQ(RobotGameScores3[[#This Row],[Highest Combined Score]],CombinedMatchScore))</f>
        <v/>
      </c>
    </row>
    <row r="56" spans="1:10" ht="21" customHeight="1" x14ac:dyDescent="0.25">
      <c r="A56">
        <v>55</v>
      </c>
      <c r="C56" s="8"/>
      <c r="D56" s="20"/>
      <c r="F56" s="20"/>
      <c r="G56" t="str">
        <f>VLOOKUP(RobotGameScores3[[#This Row],[Blue Team Number]],'Game Scores'!$B:$I,2+COUNTIF($C$2:E56,C56),FALSE)</f>
        <v/>
      </c>
      <c r="H56" t="str">
        <f>VLOOKUP(RobotGameScores3[[#This Row],[Red Team Number]],'Game Scores'!$B:$I,2+COUNTIF($C$2:E56,E56),FALSE)</f>
        <v/>
      </c>
      <c r="I56" s="50" t="str">
        <f>IF(SUM(RobotGameScores3[[#This Row],[Blue Team Score]:[Red Team Score]])=0,"",SUM(RobotGameScores3[[#This Row],[Blue Team Score]:[Red Team Score]]))</f>
        <v/>
      </c>
      <c r="J56" s="50" t="str">
        <f>IF(RobotGameScores3[[#This Row],[Blue Team Number]]="","",_xlfn.RANK.EQ(RobotGameScores3[[#This Row],[Highest Combined Score]],CombinedMatchScore))</f>
        <v/>
      </c>
    </row>
    <row r="57" spans="1:10" ht="21" customHeight="1" x14ac:dyDescent="0.25">
      <c r="A57">
        <v>56</v>
      </c>
      <c r="C57" s="8"/>
      <c r="D57" s="20"/>
      <c r="F57" s="20"/>
      <c r="G57" t="str">
        <f>VLOOKUP(RobotGameScores3[[#This Row],[Blue Team Number]],'Game Scores'!$B:$I,2+COUNTIF($C$2:E57,C57),FALSE)</f>
        <v/>
      </c>
      <c r="H57" t="str">
        <f>VLOOKUP(RobotGameScores3[[#This Row],[Red Team Number]],'Game Scores'!$B:$I,2+COUNTIF($C$2:E57,E57),FALSE)</f>
        <v/>
      </c>
      <c r="I57" s="50" t="str">
        <f>IF(SUM(RobotGameScores3[[#This Row],[Blue Team Score]:[Red Team Score]])=0,"",SUM(RobotGameScores3[[#This Row],[Blue Team Score]:[Red Team Score]]))</f>
        <v/>
      </c>
      <c r="J57" s="50" t="str">
        <f>IF(RobotGameScores3[[#This Row],[Blue Team Number]]="","",_xlfn.RANK.EQ(RobotGameScores3[[#This Row],[Highest Combined Score]],CombinedMatchScore))</f>
        <v/>
      </c>
    </row>
    <row r="58" spans="1:10" ht="21" customHeight="1" x14ac:dyDescent="0.25">
      <c r="A58">
        <v>57</v>
      </c>
      <c r="C58" s="8"/>
      <c r="D58" s="20"/>
      <c r="F58" s="20"/>
      <c r="G58" t="str">
        <f>VLOOKUP(RobotGameScores3[[#This Row],[Blue Team Number]],'Game Scores'!$B:$I,2+COUNTIF($C$2:E58,C58),FALSE)</f>
        <v/>
      </c>
      <c r="H58" t="str">
        <f>VLOOKUP(RobotGameScores3[[#This Row],[Red Team Number]],'Game Scores'!$B:$I,2+COUNTIF($C$2:E58,E58),FALSE)</f>
        <v/>
      </c>
      <c r="I58" s="50" t="str">
        <f>IF(SUM(RobotGameScores3[[#This Row],[Blue Team Score]:[Red Team Score]])=0,"",SUM(RobotGameScores3[[#This Row],[Blue Team Score]:[Red Team Score]]))</f>
        <v/>
      </c>
      <c r="J58" s="50" t="str">
        <f>IF(RobotGameScores3[[#This Row],[Blue Team Number]]="","",_xlfn.RANK.EQ(RobotGameScores3[[#This Row],[Highest Combined Score]],CombinedMatchScore))</f>
        <v/>
      </c>
    </row>
    <row r="59" spans="1:10" ht="21" customHeight="1" x14ac:dyDescent="0.25">
      <c r="A59">
        <v>58</v>
      </c>
      <c r="C59" s="8"/>
      <c r="D59" s="20"/>
      <c r="F59" s="20"/>
      <c r="G59" t="str">
        <f>VLOOKUP(RobotGameScores3[[#This Row],[Blue Team Number]],'Game Scores'!$B:$I,2+COUNTIF($C$2:E59,C59),FALSE)</f>
        <v/>
      </c>
      <c r="H59" t="str">
        <f>VLOOKUP(RobotGameScores3[[#This Row],[Red Team Number]],'Game Scores'!$B:$I,2+COUNTIF($C$2:E59,E59),FALSE)</f>
        <v/>
      </c>
      <c r="I59" s="50" t="str">
        <f>IF(SUM(RobotGameScores3[[#This Row],[Blue Team Score]:[Red Team Score]])=0,"",SUM(RobotGameScores3[[#This Row],[Blue Team Score]:[Red Team Score]]))</f>
        <v/>
      </c>
      <c r="J59" s="50" t="str">
        <f>IF(RobotGameScores3[[#This Row],[Blue Team Number]]="","",_xlfn.RANK.EQ(RobotGameScores3[[#This Row],[Highest Combined Score]],CombinedMatchScore))</f>
        <v/>
      </c>
    </row>
    <row r="60" spans="1:10" ht="21" customHeight="1" x14ac:dyDescent="0.25">
      <c r="A60">
        <v>59</v>
      </c>
      <c r="C60" s="8"/>
      <c r="D60" s="20"/>
      <c r="F60" s="20"/>
      <c r="G60" t="str">
        <f>VLOOKUP(RobotGameScores3[[#This Row],[Blue Team Number]],'Game Scores'!$B:$I,2+COUNTIF($C$2:E60,C60),FALSE)</f>
        <v/>
      </c>
      <c r="H60" t="str">
        <f>VLOOKUP(RobotGameScores3[[#This Row],[Red Team Number]],'Game Scores'!$B:$I,2+COUNTIF($C$2:E60,E60),FALSE)</f>
        <v/>
      </c>
      <c r="I60" s="50" t="str">
        <f>IF(SUM(RobotGameScores3[[#This Row],[Blue Team Score]:[Red Team Score]])=0,"",SUM(RobotGameScores3[[#This Row],[Blue Team Score]:[Red Team Score]]))</f>
        <v/>
      </c>
      <c r="J60" s="50" t="str">
        <f>IF(RobotGameScores3[[#This Row],[Blue Team Number]]="","",_xlfn.RANK.EQ(RobotGameScores3[[#This Row],[Highest Combined Score]],CombinedMatchScore))</f>
        <v/>
      </c>
    </row>
    <row r="61" spans="1:10" ht="21" customHeight="1" x14ac:dyDescent="0.25">
      <c r="A61">
        <v>60</v>
      </c>
      <c r="C61" s="8"/>
      <c r="D61" s="20"/>
      <c r="F61" s="20"/>
      <c r="G61" t="str">
        <f>VLOOKUP(RobotGameScores3[[#This Row],[Blue Team Number]],'Game Scores'!$B:$I,2+COUNTIF($C$2:E61,C61),FALSE)</f>
        <v/>
      </c>
      <c r="H61" t="str">
        <f>VLOOKUP(RobotGameScores3[[#This Row],[Red Team Number]],'Game Scores'!$B:$I,2+COUNTIF($C$2:E61,E61),FALSE)</f>
        <v/>
      </c>
      <c r="I61" s="50" t="str">
        <f>IF(SUM(RobotGameScores3[[#This Row],[Blue Team Score]:[Red Team Score]])=0,"",SUM(RobotGameScores3[[#This Row],[Blue Team Score]:[Red Team Score]]))</f>
        <v/>
      </c>
      <c r="J61" s="50" t="str">
        <f>IF(RobotGameScores3[[#This Row],[Blue Team Number]]="","",_xlfn.RANK.EQ(RobotGameScores3[[#This Row],[Highest Combined Score]],CombinedMatchScore))</f>
        <v/>
      </c>
    </row>
    <row r="62" spans="1:10" ht="21" customHeight="1" x14ac:dyDescent="0.25">
      <c r="A62">
        <v>61</v>
      </c>
      <c r="C62" s="8"/>
      <c r="D62" s="20"/>
      <c r="F62" s="20"/>
      <c r="G62" t="str">
        <f>VLOOKUP(RobotGameScores3[[#This Row],[Blue Team Number]],'Game Scores'!$B:$I,2+COUNTIF($C$2:E62,C62),FALSE)</f>
        <v/>
      </c>
      <c r="H62" t="str">
        <f>VLOOKUP(RobotGameScores3[[#This Row],[Red Team Number]],'Game Scores'!$B:$I,2+COUNTIF($C$2:E62,E62),FALSE)</f>
        <v/>
      </c>
      <c r="I62" s="50" t="str">
        <f>IF(SUM(RobotGameScores3[[#This Row],[Blue Team Score]:[Red Team Score]])=0,"",SUM(RobotGameScores3[[#This Row],[Blue Team Score]:[Red Team Score]]))</f>
        <v/>
      </c>
      <c r="J62" s="50" t="str">
        <f>IF(RobotGameScores3[[#This Row],[Blue Team Number]]="","",_xlfn.RANK.EQ(RobotGameScores3[[#This Row],[Highest Combined Score]],CombinedMatchScore))</f>
        <v/>
      </c>
    </row>
    <row r="63" spans="1:10" ht="21" customHeight="1" x14ac:dyDescent="0.25">
      <c r="A63">
        <v>62</v>
      </c>
      <c r="C63" s="8"/>
      <c r="D63" s="20"/>
      <c r="F63" s="20"/>
      <c r="G63" t="str">
        <f>VLOOKUP(RobotGameScores3[[#This Row],[Blue Team Number]],'Game Scores'!$B:$I,2+COUNTIF($C$2:E63,C63),FALSE)</f>
        <v/>
      </c>
      <c r="H63" t="str">
        <f>VLOOKUP(RobotGameScores3[[#This Row],[Red Team Number]],'Game Scores'!$B:$I,2+COUNTIF($C$2:E63,E63),FALSE)</f>
        <v/>
      </c>
      <c r="I63" s="50" t="str">
        <f>IF(SUM(RobotGameScores3[[#This Row],[Blue Team Score]:[Red Team Score]])=0,"",SUM(RobotGameScores3[[#This Row],[Blue Team Score]:[Red Team Score]]))</f>
        <v/>
      </c>
      <c r="J63" s="50" t="str">
        <f>IF(RobotGameScores3[[#This Row],[Blue Team Number]]="","",_xlfn.RANK.EQ(RobotGameScores3[[#This Row],[Highest Combined Score]],CombinedMatchScore))</f>
        <v/>
      </c>
    </row>
    <row r="64" spans="1:10" ht="21" customHeight="1" x14ac:dyDescent="0.25">
      <c r="A64">
        <v>63</v>
      </c>
      <c r="C64" s="8"/>
      <c r="D64" s="20"/>
      <c r="F64" s="20"/>
      <c r="G64" t="str">
        <f>VLOOKUP(RobotGameScores3[[#This Row],[Blue Team Number]],'Game Scores'!$B:$I,2+COUNTIF($C$2:E64,C64),FALSE)</f>
        <v/>
      </c>
      <c r="H64" t="str">
        <f>VLOOKUP(RobotGameScores3[[#This Row],[Red Team Number]],'Game Scores'!$B:$I,2+COUNTIF($C$2:E64,E64),FALSE)</f>
        <v/>
      </c>
      <c r="I64" s="50" t="str">
        <f>IF(SUM(RobotGameScores3[[#This Row],[Blue Team Score]:[Red Team Score]])=0,"",SUM(RobotGameScores3[[#This Row],[Blue Team Score]:[Red Team Score]]))</f>
        <v/>
      </c>
      <c r="J64" s="50" t="str">
        <f>IF(RobotGameScores3[[#This Row],[Blue Team Number]]="","",_xlfn.RANK.EQ(RobotGameScores3[[#This Row],[Highest Combined Score]],CombinedMatchScore))</f>
        <v/>
      </c>
    </row>
    <row r="65" spans="1:10" ht="21" customHeight="1" x14ac:dyDescent="0.25">
      <c r="A65">
        <v>64</v>
      </c>
      <c r="C65" s="8"/>
      <c r="D65" s="20"/>
      <c r="F65" s="20"/>
      <c r="G65" t="str">
        <f>VLOOKUP(RobotGameScores3[[#This Row],[Blue Team Number]],'Game Scores'!$B:$I,2+COUNTIF($C$2:E65,C65),FALSE)</f>
        <v/>
      </c>
      <c r="H65" t="str">
        <f>VLOOKUP(RobotGameScores3[[#This Row],[Red Team Number]],'Game Scores'!$B:$I,2+COUNTIF($C$2:E65,E65),FALSE)</f>
        <v/>
      </c>
      <c r="I65" s="50" t="str">
        <f>IF(SUM(RobotGameScores3[[#This Row],[Blue Team Score]:[Red Team Score]])=0,"",SUM(RobotGameScores3[[#This Row],[Blue Team Score]:[Red Team Score]]))</f>
        <v/>
      </c>
      <c r="J65" s="50" t="str">
        <f>IF(RobotGameScores3[[#This Row],[Blue Team Number]]="","",_xlfn.RANK.EQ(RobotGameScores3[[#This Row],[Highest Combined Score]],CombinedMatchScore))</f>
        <v/>
      </c>
    </row>
    <row r="66" spans="1:10" ht="21" customHeight="1" x14ac:dyDescent="0.25">
      <c r="A66">
        <v>65</v>
      </c>
      <c r="C66" s="8"/>
      <c r="D66" s="20"/>
      <c r="F66" s="20"/>
      <c r="G66" t="str">
        <f>VLOOKUP(RobotGameScores3[[#This Row],[Blue Team Number]],'Game Scores'!$B:$I,2+COUNTIF($C$2:E66,C66),FALSE)</f>
        <v/>
      </c>
      <c r="H66" t="str">
        <f>VLOOKUP(RobotGameScores3[[#This Row],[Red Team Number]],'Game Scores'!$B:$I,2+COUNTIF($C$2:E66,E66),FALSE)</f>
        <v/>
      </c>
      <c r="I66" s="50" t="str">
        <f>IF(SUM(RobotGameScores3[[#This Row],[Blue Team Score]:[Red Team Score]])=0,"",SUM(RobotGameScores3[[#This Row],[Blue Team Score]:[Red Team Score]]))</f>
        <v/>
      </c>
      <c r="J66" s="50" t="str">
        <f>IF(RobotGameScores3[[#This Row],[Blue Team Number]]="","",_xlfn.RANK.EQ(RobotGameScores3[[#This Row],[Highest Combined Score]],CombinedMatchScore))</f>
        <v/>
      </c>
    </row>
    <row r="67" spans="1:10" ht="21" customHeight="1" x14ac:dyDescent="0.25">
      <c r="A67">
        <v>66</v>
      </c>
      <c r="C67" s="8"/>
      <c r="D67" s="20"/>
      <c r="F67" s="20"/>
      <c r="G67" t="str">
        <f>VLOOKUP(RobotGameScores3[[#This Row],[Blue Team Number]],'Game Scores'!$B:$I,2+COUNTIF($C$2:E67,C67),FALSE)</f>
        <v/>
      </c>
      <c r="H67" t="str">
        <f>VLOOKUP(RobotGameScores3[[#This Row],[Red Team Number]],'Game Scores'!$B:$I,2+COUNTIF($C$2:E67,E67),FALSE)</f>
        <v/>
      </c>
      <c r="I67" s="50" t="str">
        <f>IF(SUM(RobotGameScores3[[#This Row],[Blue Team Score]:[Red Team Score]])=0,"",SUM(RobotGameScores3[[#This Row],[Blue Team Score]:[Red Team Score]]))</f>
        <v/>
      </c>
      <c r="J67" s="50" t="str">
        <f>IF(RobotGameScores3[[#This Row],[Blue Team Number]]="","",_xlfn.RANK.EQ(RobotGameScores3[[#This Row],[Highest Combined Score]],CombinedMatchScore))</f>
        <v/>
      </c>
    </row>
    <row r="68" spans="1:10" ht="21" customHeight="1" x14ac:dyDescent="0.25">
      <c r="A68">
        <v>67</v>
      </c>
      <c r="C68" s="8"/>
      <c r="D68" s="20"/>
      <c r="F68" s="20"/>
      <c r="G68" t="str">
        <f>VLOOKUP(RobotGameScores3[[#This Row],[Blue Team Number]],'Game Scores'!$B:$I,2+COUNTIF($C$2:E68,C68),FALSE)</f>
        <v/>
      </c>
      <c r="H68" t="str">
        <f>VLOOKUP(RobotGameScores3[[#This Row],[Red Team Number]],'Game Scores'!$B:$I,2+COUNTIF($C$2:E68,E68),FALSE)</f>
        <v/>
      </c>
      <c r="I68" s="50" t="str">
        <f>IF(SUM(RobotGameScores3[[#This Row],[Blue Team Score]:[Red Team Score]])=0,"",SUM(RobotGameScores3[[#This Row],[Blue Team Score]:[Red Team Score]]))</f>
        <v/>
      </c>
      <c r="J68" s="50" t="str">
        <f>IF(RobotGameScores3[[#This Row],[Blue Team Number]]="","",_xlfn.RANK.EQ(RobotGameScores3[[#This Row],[Highest Combined Score]],CombinedMatchScore))</f>
        <v/>
      </c>
    </row>
    <row r="69" spans="1:10" ht="21" customHeight="1" x14ac:dyDescent="0.25">
      <c r="A69">
        <v>68</v>
      </c>
      <c r="C69" s="8"/>
      <c r="D69" s="20"/>
      <c r="F69" s="20"/>
      <c r="G69" t="str">
        <f>VLOOKUP(RobotGameScores3[[#This Row],[Blue Team Number]],'Game Scores'!$B:$I,2+COUNTIF($C$2:E69,C69),FALSE)</f>
        <v/>
      </c>
      <c r="H69" t="str">
        <f>VLOOKUP(RobotGameScores3[[#This Row],[Red Team Number]],'Game Scores'!$B:$I,2+COUNTIF($C$2:E69,E69),FALSE)</f>
        <v/>
      </c>
      <c r="I69" s="50" t="str">
        <f>IF(SUM(RobotGameScores3[[#This Row],[Blue Team Score]:[Red Team Score]])=0,"",SUM(RobotGameScores3[[#This Row],[Blue Team Score]:[Red Team Score]]))</f>
        <v/>
      </c>
      <c r="J69" s="50" t="str">
        <f>IF(RobotGameScores3[[#This Row],[Blue Team Number]]="","",_xlfn.RANK.EQ(RobotGameScores3[[#This Row],[Highest Combined Score]],CombinedMatchScore))</f>
        <v/>
      </c>
    </row>
    <row r="70" spans="1:10" ht="21" customHeight="1" x14ac:dyDescent="0.25">
      <c r="A70">
        <v>69</v>
      </c>
      <c r="C70" s="8"/>
      <c r="D70" s="20"/>
      <c r="F70" s="20"/>
      <c r="G70" t="str">
        <f>VLOOKUP(RobotGameScores3[[#This Row],[Blue Team Number]],'Game Scores'!$B:$I,2+COUNTIF($C$2:E70,C70),FALSE)</f>
        <v/>
      </c>
      <c r="H70" t="str">
        <f>VLOOKUP(RobotGameScores3[[#This Row],[Red Team Number]],'Game Scores'!$B:$I,2+COUNTIF($C$2:E70,E70),FALSE)</f>
        <v/>
      </c>
      <c r="I70" s="50" t="str">
        <f>IF(SUM(RobotGameScores3[[#This Row],[Blue Team Score]:[Red Team Score]])=0,"",SUM(RobotGameScores3[[#This Row],[Blue Team Score]:[Red Team Score]]))</f>
        <v/>
      </c>
      <c r="J70" s="50" t="str">
        <f>IF(RobotGameScores3[[#This Row],[Blue Team Number]]="","",_xlfn.RANK.EQ(RobotGameScores3[[#This Row],[Highest Combined Score]],CombinedMatchScore))</f>
        <v/>
      </c>
    </row>
    <row r="71" spans="1:10" ht="21" customHeight="1" x14ac:dyDescent="0.25">
      <c r="A71">
        <v>70</v>
      </c>
      <c r="C71" s="8"/>
      <c r="D71" s="20"/>
      <c r="F71" s="20"/>
      <c r="G71" t="str">
        <f>VLOOKUP(RobotGameScores3[[#This Row],[Blue Team Number]],'Game Scores'!$B:$I,2+COUNTIF($C$2:E71,C71),FALSE)</f>
        <v/>
      </c>
      <c r="H71" t="str">
        <f>VLOOKUP(RobotGameScores3[[#This Row],[Red Team Number]],'Game Scores'!$B:$I,2+COUNTIF($C$2:E71,E71),FALSE)</f>
        <v/>
      </c>
      <c r="I71" s="50" t="str">
        <f>IF(SUM(RobotGameScores3[[#This Row],[Blue Team Score]:[Red Team Score]])=0,"",SUM(RobotGameScores3[[#This Row],[Blue Team Score]:[Red Team Score]]))</f>
        <v/>
      </c>
      <c r="J71" s="50" t="str">
        <f>IF(RobotGameScores3[[#This Row],[Blue Team Number]]="","",_xlfn.RANK.EQ(RobotGameScores3[[#This Row],[Highest Combined Score]],CombinedMatchScore))</f>
        <v/>
      </c>
    </row>
    <row r="72" spans="1:10" ht="21" customHeight="1" x14ac:dyDescent="0.25">
      <c r="A72">
        <v>71</v>
      </c>
      <c r="C72" s="8"/>
      <c r="D72" s="20"/>
      <c r="F72" s="20"/>
      <c r="G72" t="str">
        <f>VLOOKUP(RobotGameScores3[[#This Row],[Blue Team Number]],'Game Scores'!$B:$I,2+COUNTIF($C$2:E72,C72),FALSE)</f>
        <v/>
      </c>
      <c r="H72" t="str">
        <f>VLOOKUP(RobotGameScores3[[#This Row],[Red Team Number]],'Game Scores'!$B:$I,2+COUNTIF($C$2:E72,E72),FALSE)</f>
        <v/>
      </c>
      <c r="I72" s="50" t="str">
        <f>IF(SUM(RobotGameScores3[[#This Row],[Blue Team Score]:[Red Team Score]])=0,"",SUM(RobotGameScores3[[#This Row],[Blue Team Score]:[Red Team Score]]))</f>
        <v/>
      </c>
      <c r="J72" s="50" t="str">
        <f>IF(RobotGameScores3[[#This Row],[Blue Team Number]]="","",_xlfn.RANK.EQ(RobotGameScores3[[#This Row],[Highest Combined Score]],CombinedMatchScore))</f>
        <v/>
      </c>
    </row>
    <row r="73" spans="1:10" ht="21" customHeight="1" x14ac:dyDescent="0.25">
      <c r="A73">
        <v>72</v>
      </c>
      <c r="C73" s="8"/>
      <c r="D73" s="20"/>
      <c r="F73" s="20"/>
      <c r="G73" t="str">
        <f>VLOOKUP(RobotGameScores3[[#This Row],[Blue Team Number]],'Game Scores'!$B:$I,2+COUNTIF($C$2:E73,C73),FALSE)</f>
        <v/>
      </c>
      <c r="H73" t="str">
        <f>VLOOKUP(RobotGameScores3[[#This Row],[Red Team Number]],'Game Scores'!$B:$I,2+COUNTIF($C$2:E73,E73),FALSE)</f>
        <v/>
      </c>
      <c r="I73" s="50" t="str">
        <f>IF(SUM(RobotGameScores3[[#This Row],[Blue Team Score]:[Red Team Score]])=0,"",SUM(RobotGameScores3[[#This Row],[Blue Team Score]:[Red Team Score]]))</f>
        <v/>
      </c>
      <c r="J73" s="50" t="str">
        <f>IF(RobotGameScores3[[#This Row],[Blue Team Number]]="","",_xlfn.RANK.EQ(RobotGameScores3[[#This Row],[Highest Combined Score]],CombinedMatchScore))</f>
        <v/>
      </c>
    </row>
    <row r="74" spans="1:10" ht="21" customHeight="1" x14ac:dyDescent="0.25">
      <c r="A74">
        <v>73</v>
      </c>
      <c r="C74" s="8"/>
      <c r="D74" s="20"/>
      <c r="F74" s="20"/>
      <c r="G74" t="str">
        <f>VLOOKUP(RobotGameScores3[[#This Row],[Blue Team Number]],'Game Scores'!$B:$I,2+COUNTIF($C$2:E74,C74),FALSE)</f>
        <v/>
      </c>
      <c r="H74" t="str">
        <f>VLOOKUP(RobotGameScores3[[#This Row],[Red Team Number]],'Game Scores'!$B:$I,2+COUNTIF($C$2:E74,E74),FALSE)</f>
        <v/>
      </c>
      <c r="I74" s="50" t="str">
        <f>IF(SUM(RobotGameScores3[[#This Row],[Blue Team Score]:[Red Team Score]])=0,"",SUM(RobotGameScores3[[#This Row],[Blue Team Score]:[Red Team Score]]))</f>
        <v/>
      </c>
      <c r="J74" s="50" t="str">
        <f>IF(RobotGameScores3[[#This Row],[Blue Team Number]]="","",_xlfn.RANK.EQ(RobotGameScores3[[#This Row],[Highest Combined Score]],CombinedMatchScore))</f>
        <v/>
      </c>
    </row>
    <row r="75" spans="1:10" ht="21" customHeight="1" x14ac:dyDescent="0.25">
      <c r="A75">
        <v>74</v>
      </c>
      <c r="C75" s="8"/>
      <c r="D75" s="20"/>
      <c r="F75" s="20"/>
      <c r="G75" t="str">
        <f>VLOOKUP(RobotGameScores3[[#This Row],[Blue Team Number]],'Game Scores'!$B:$I,2+COUNTIF($C$2:E75,C75),FALSE)</f>
        <v/>
      </c>
      <c r="H75" t="str">
        <f>VLOOKUP(RobotGameScores3[[#This Row],[Red Team Number]],'Game Scores'!$B:$I,2+COUNTIF($C$2:E75,E75),FALSE)</f>
        <v/>
      </c>
      <c r="I75" s="50" t="str">
        <f>IF(SUM(RobotGameScores3[[#This Row],[Blue Team Score]:[Red Team Score]])=0,"",SUM(RobotGameScores3[[#This Row],[Blue Team Score]:[Red Team Score]]))</f>
        <v/>
      </c>
      <c r="J75" s="50" t="str">
        <f>IF(RobotGameScores3[[#This Row],[Blue Team Number]]="","",_xlfn.RANK.EQ(RobotGameScores3[[#This Row],[Highest Combined Score]],CombinedMatchScore))</f>
        <v/>
      </c>
    </row>
    <row r="76" spans="1:10" ht="21" customHeight="1" x14ac:dyDescent="0.25">
      <c r="A76">
        <v>75</v>
      </c>
      <c r="C76" s="8"/>
      <c r="D76" s="20"/>
      <c r="F76" s="20"/>
      <c r="G76" t="str">
        <f>VLOOKUP(RobotGameScores3[[#This Row],[Blue Team Number]],'Game Scores'!$B:$I,2+COUNTIF($C$2:E76,C76),FALSE)</f>
        <v/>
      </c>
      <c r="H76" t="str">
        <f>VLOOKUP(RobotGameScores3[[#This Row],[Red Team Number]],'Game Scores'!$B:$I,2+COUNTIF($C$2:E76,E76),FALSE)</f>
        <v/>
      </c>
      <c r="I76" s="50" t="str">
        <f>IF(SUM(RobotGameScores3[[#This Row],[Blue Team Score]:[Red Team Score]])=0,"",SUM(RobotGameScores3[[#This Row],[Blue Team Score]:[Red Team Score]]))</f>
        <v/>
      </c>
      <c r="J76" s="50" t="str">
        <f>IF(RobotGameScores3[[#This Row],[Blue Team Number]]="","",_xlfn.RANK.EQ(RobotGameScores3[[#This Row],[Highest Combined Score]],CombinedMatchScore))</f>
        <v/>
      </c>
    </row>
    <row r="77" spans="1:10" ht="21" customHeight="1" x14ac:dyDescent="0.25">
      <c r="A77">
        <v>76</v>
      </c>
      <c r="C77" s="8"/>
      <c r="D77" s="20"/>
      <c r="F77" s="20"/>
      <c r="G77" t="str">
        <f>VLOOKUP(RobotGameScores3[[#This Row],[Blue Team Number]],'Game Scores'!$B:$I,2+COUNTIF($C$2:E77,C77),FALSE)</f>
        <v/>
      </c>
      <c r="H77" t="str">
        <f>VLOOKUP(RobotGameScores3[[#This Row],[Red Team Number]],'Game Scores'!$B:$I,2+COUNTIF($C$2:E77,E77),FALSE)</f>
        <v/>
      </c>
      <c r="I77" s="50" t="str">
        <f>IF(SUM(RobotGameScores3[[#This Row],[Blue Team Score]:[Red Team Score]])=0,"",SUM(RobotGameScores3[[#This Row],[Blue Team Score]:[Red Team Score]]))</f>
        <v/>
      </c>
      <c r="J77" s="50" t="str">
        <f>IF(RobotGameScores3[[#This Row],[Blue Team Number]]="","",_xlfn.RANK.EQ(RobotGameScores3[[#This Row],[Highest Combined Score]],CombinedMatchScore))</f>
        <v/>
      </c>
    </row>
    <row r="78" spans="1:10" ht="21" customHeight="1" x14ac:dyDescent="0.25">
      <c r="A78">
        <v>77</v>
      </c>
      <c r="C78" s="8"/>
      <c r="D78" s="20"/>
      <c r="F78" s="20"/>
      <c r="G78" t="str">
        <f>VLOOKUP(RobotGameScores3[[#This Row],[Blue Team Number]],'Game Scores'!$B:$I,2+COUNTIF($C$2:E78,C78),FALSE)</f>
        <v/>
      </c>
      <c r="H78" t="str">
        <f>VLOOKUP(RobotGameScores3[[#This Row],[Red Team Number]],'Game Scores'!$B:$I,2+COUNTIF($C$2:E78,E78),FALSE)</f>
        <v/>
      </c>
      <c r="I78" s="50" t="str">
        <f>IF(SUM(RobotGameScores3[[#This Row],[Blue Team Score]:[Red Team Score]])=0,"",SUM(RobotGameScores3[[#This Row],[Blue Team Score]:[Red Team Score]]))</f>
        <v/>
      </c>
      <c r="J78" s="50" t="str">
        <f>IF(RobotGameScores3[[#This Row],[Blue Team Number]]="","",_xlfn.RANK.EQ(RobotGameScores3[[#This Row],[Highest Combined Score]],CombinedMatchScore))</f>
        <v/>
      </c>
    </row>
    <row r="79" spans="1:10" ht="21" customHeight="1" x14ac:dyDescent="0.25">
      <c r="A79">
        <v>78</v>
      </c>
      <c r="C79" s="8"/>
      <c r="D79" s="20"/>
      <c r="F79" s="20"/>
      <c r="G79" t="str">
        <f>VLOOKUP(RobotGameScores3[[#This Row],[Blue Team Number]],'Game Scores'!$B:$I,2+COUNTIF($C$2:E79,C79),FALSE)</f>
        <v/>
      </c>
      <c r="H79" t="str">
        <f>VLOOKUP(RobotGameScores3[[#This Row],[Red Team Number]],'Game Scores'!$B:$I,2+COUNTIF($C$2:E79,E79),FALSE)</f>
        <v/>
      </c>
      <c r="I79" s="50" t="str">
        <f>IF(SUM(RobotGameScores3[[#This Row],[Blue Team Score]:[Red Team Score]])=0,"",SUM(RobotGameScores3[[#This Row],[Blue Team Score]:[Red Team Score]]))</f>
        <v/>
      </c>
      <c r="J79" s="50" t="str">
        <f>IF(RobotGameScores3[[#This Row],[Blue Team Number]]="","",_xlfn.RANK.EQ(RobotGameScores3[[#This Row],[Highest Combined Score]],CombinedMatchScore))</f>
        <v/>
      </c>
    </row>
    <row r="80" spans="1:10" ht="21" customHeight="1" x14ac:dyDescent="0.25">
      <c r="A80">
        <v>79</v>
      </c>
      <c r="C80" s="8"/>
      <c r="D80" s="20"/>
      <c r="F80" s="20"/>
      <c r="G80" t="str">
        <f>VLOOKUP(RobotGameScores3[[#This Row],[Blue Team Number]],'Game Scores'!$B:$I,2+COUNTIF($C$2:E80,C80),FALSE)</f>
        <v/>
      </c>
      <c r="H80" t="str">
        <f>VLOOKUP(RobotGameScores3[[#This Row],[Red Team Number]],'Game Scores'!$B:$I,2+COUNTIF($C$2:E80,E80),FALSE)</f>
        <v/>
      </c>
      <c r="I80" s="50" t="str">
        <f>IF(SUM(RobotGameScores3[[#This Row],[Blue Team Score]:[Red Team Score]])=0,"",SUM(RobotGameScores3[[#This Row],[Blue Team Score]:[Red Team Score]]))</f>
        <v/>
      </c>
      <c r="J80" s="50" t="str">
        <f>IF(RobotGameScores3[[#This Row],[Blue Team Number]]="","",_xlfn.RANK.EQ(RobotGameScores3[[#This Row],[Highest Combined Score]],CombinedMatchScore))</f>
        <v/>
      </c>
    </row>
    <row r="81" spans="1:10" ht="21" customHeight="1" x14ac:dyDescent="0.25">
      <c r="A81">
        <v>80</v>
      </c>
      <c r="C81" s="8"/>
      <c r="D81" s="20"/>
      <c r="F81" s="20"/>
      <c r="G81" t="str">
        <f>VLOOKUP(RobotGameScores3[[#This Row],[Blue Team Number]],'Game Scores'!$B:$I,2+COUNTIF($C$2:E81,C81),FALSE)</f>
        <v/>
      </c>
      <c r="H81" t="str">
        <f>VLOOKUP(RobotGameScores3[[#This Row],[Red Team Number]],'Game Scores'!$B:$I,2+COUNTIF($C$2:E81,E81),FALSE)</f>
        <v/>
      </c>
      <c r="I81" s="50" t="str">
        <f>IF(SUM(RobotGameScores3[[#This Row],[Blue Team Score]:[Red Team Score]])=0,"",SUM(RobotGameScores3[[#This Row],[Blue Team Score]:[Red Team Score]]))</f>
        <v/>
      </c>
      <c r="J81" s="50" t="str">
        <f>IF(RobotGameScores3[[#This Row],[Blue Team Number]]="","",_xlfn.RANK.EQ(RobotGameScores3[[#This Row],[Highest Combined Score]],CombinedMatchScore))</f>
        <v/>
      </c>
    </row>
    <row r="82" spans="1:10" ht="21" customHeight="1" x14ac:dyDescent="0.25">
      <c r="A82">
        <v>81</v>
      </c>
      <c r="C82" s="8"/>
      <c r="D82" s="20"/>
      <c r="F82" s="20"/>
      <c r="G82" t="str">
        <f>VLOOKUP(RobotGameScores3[[#This Row],[Blue Team Number]],'Game Scores'!$B:$I,2+COUNTIF($C$2:E82,C82),FALSE)</f>
        <v/>
      </c>
      <c r="H82" t="str">
        <f>VLOOKUP(RobotGameScores3[[#This Row],[Red Team Number]],'Game Scores'!$B:$I,2+COUNTIF($C$2:E82,E82),FALSE)</f>
        <v/>
      </c>
      <c r="I82" s="50" t="str">
        <f>IF(SUM(RobotGameScores3[[#This Row],[Blue Team Score]:[Red Team Score]])=0,"",SUM(RobotGameScores3[[#This Row],[Blue Team Score]:[Red Team Score]]))</f>
        <v/>
      </c>
      <c r="J82" s="50" t="str">
        <f>IF(RobotGameScores3[[#This Row],[Blue Team Number]]="","",_xlfn.RANK.EQ(RobotGameScores3[[#This Row],[Highest Combined Score]],CombinedMatchScore))</f>
        <v/>
      </c>
    </row>
    <row r="83" spans="1:10" ht="21" customHeight="1" x14ac:dyDescent="0.25">
      <c r="A83">
        <v>82</v>
      </c>
      <c r="C83" s="8"/>
      <c r="D83" s="20"/>
      <c r="F83" s="20"/>
      <c r="G83" t="str">
        <f>VLOOKUP(RobotGameScores3[[#This Row],[Blue Team Number]],'Game Scores'!$B:$I,2+COUNTIF($C$2:E83,C83),FALSE)</f>
        <v/>
      </c>
      <c r="H83" t="str">
        <f>VLOOKUP(RobotGameScores3[[#This Row],[Red Team Number]],'Game Scores'!$B:$I,2+COUNTIF($C$2:E83,E83),FALSE)</f>
        <v/>
      </c>
      <c r="I83" s="50" t="str">
        <f>IF(SUM(RobotGameScores3[[#This Row],[Blue Team Score]:[Red Team Score]])=0,"",SUM(RobotGameScores3[[#This Row],[Blue Team Score]:[Red Team Score]]))</f>
        <v/>
      </c>
      <c r="J83" s="50" t="str">
        <f>IF(RobotGameScores3[[#This Row],[Blue Team Number]]="","",_xlfn.RANK.EQ(RobotGameScores3[[#This Row],[Highest Combined Score]],CombinedMatchScore))</f>
        <v/>
      </c>
    </row>
    <row r="84" spans="1:10" ht="21" customHeight="1" x14ac:dyDescent="0.25">
      <c r="A84">
        <v>83</v>
      </c>
      <c r="C84" s="8"/>
      <c r="D84" s="20"/>
      <c r="F84" s="20"/>
      <c r="G84" t="str">
        <f>VLOOKUP(RobotGameScores3[[#This Row],[Blue Team Number]],'Game Scores'!$B:$I,2+COUNTIF($C$2:E84,C84),FALSE)</f>
        <v/>
      </c>
      <c r="H84" t="str">
        <f>VLOOKUP(RobotGameScores3[[#This Row],[Red Team Number]],'Game Scores'!$B:$I,2+COUNTIF($C$2:E84,E84),FALSE)</f>
        <v/>
      </c>
      <c r="I84" s="50" t="str">
        <f>IF(SUM(RobotGameScores3[[#This Row],[Blue Team Score]:[Red Team Score]])=0,"",SUM(RobotGameScores3[[#This Row],[Blue Team Score]:[Red Team Score]]))</f>
        <v/>
      </c>
      <c r="J84" s="50" t="str">
        <f>IF(RobotGameScores3[[#This Row],[Blue Team Number]]="","",_xlfn.RANK.EQ(RobotGameScores3[[#This Row],[Highest Combined Score]],CombinedMatchScore))</f>
        <v/>
      </c>
    </row>
    <row r="85" spans="1:10" ht="21" customHeight="1" x14ac:dyDescent="0.25">
      <c r="A85">
        <v>84</v>
      </c>
      <c r="C85" s="8"/>
      <c r="D85" s="20"/>
      <c r="F85" s="20"/>
      <c r="G85" t="str">
        <f>VLOOKUP(RobotGameScores3[[#This Row],[Blue Team Number]],'Game Scores'!$B:$I,2+COUNTIF($C$2:E85,C85),FALSE)</f>
        <v/>
      </c>
      <c r="H85" t="str">
        <f>VLOOKUP(RobotGameScores3[[#This Row],[Red Team Number]],'Game Scores'!$B:$I,2+COUNTIF($C$2:E85,E85),FALSE)</f>
        <v/>
      </c>
      <c r="I85" s="50" t="str">
        <f>IF(SUM(RobotGameScores3[[#This Row],[Blue Team Score]:[Red Team Score]])=0,"",SUM(RobotGameScores3[[#This Row],[Blue Team Score]:[Red Team Score]]))</f>
        <v/>
      </c>
      <c r="J85" s="50" t="str">
        <f>IF(RobotGameScores3[[#This Row],[Blue Team Number]]="","",_xlfn.RANK.EQ(RobotGameScores3[[#This Row],[Highest Combined Score]],CombinedMatchScore))</f>
        <v/>
      </c>
    </row>
    <row r="86" spans="1:10" ht="21" customHeight="1" x14ac:dyDescent="0.25">
      <c r="A86">
        <v>85</v>
      </c>
      <c r="C86" s="8"/>
      <c r="D86" s="20"/>
      <c r="F86" s="20"/>
      <c r="G86" t="str">
        <f>VLOOKUP(RobotGameScores3[[#This Row],[Blue Team Number]],'Game Scores'!$B:$I,2+COUNTIF($C$2:E86,C86),FALSE)</f>
        <v/>
      </c>
      <c r="H86" t="str">
        <f>VLOOKUP(RobotGameScores3[[#This Row],[Red Team Number]],'Game Scores'!$B:$I,2+COUNTIF($C$2:E86,E86),FALSE)</f>
        <v/>
      </c>
      <c r="I86" s="50" t="str">
        <f>IF(SUM(RobotGameScores3[[#This Row],[Blue Team Score]:[Red Team Score]])=0,"",SUM(RobotGameScores3[[#This Row],[Blue Team Score]:[Red Team Score]]))</f>
        <v/>
      </c>
      <c r="J86" s="50" t="str">
        <f>IF(RobotGameScores3[[#This Row],[Blue Team Number]]="","",_xlfn.RANK.EQ(RobotGameScores3[[#This Row],[Highest Combined Score]],CombinedMatchScore))</f>
        <v/>
      </c>
    </row>
    <row r="87" spans="1:10" ht="21" customHeight="1" x14ac:dyDescent="0.25">
      <c r="A87">
        <v>86</v>
      </c>
      <c r="C87" s="8"/>
      <c r="D87" s="20"/>
      <c r="F87" s="20"/>
      <c r="G87" t="str">
        <f>VLOOKUP(RobotGameScores3[[#This Row],[Blue Team Number]],'Game Scores'!$B:$I,2+COUNTIF($C$2:E87,C87),FALSE)</f>
        <v/>
      </c>
      <c r="H87" t="str">
        <f>VLOOKUP(RobotGameScores3[[#This Row],[Red Team Number]],'Game Scores'!$B:$I,2+COUNTIF($C$2:E87,E87),FALSE)</f>
        <v/>
      </c>
      <c r="I87" s="50" t="str">
        <f>IF(SUM(RobotGameScores3[[#This Row],[Blue Team Score]:[Red Team Score]])=0,"",SUM(RobotGameScores3[[#This Row],[Blue Team Score]:[Red Team Score]]))</f>
        <v/>
      </c>
      <c r="J87" s="50" t="str">
        <f>IF(RobotGameScores3[[#This Row],[Blue Team Number]]="","",_xlfn.RANK.EQ(RobotGameScores3[[#This Row],[Highest Combined Score]],CombinedMatchScore))</f>
        <v/>
      </c>
    </row>
    <row r="88" spans="1:10" ht="21" customHeight="1" x14ac:dyDescent="0.25">
      <c r="A88">
        <v>87</v>
      </c>
      <c r="C88" s="8"/>
      <c r="D88" s="20"/>
      <c r="F88" s="20"/>
      <c r="G88" t="str">
        <f>VLOOKUP(RobotGameScores3[[#This Row],[Blue Team Number]],'Game Scores'!$B:$I,2+COUNTIF($C$2:E88,C88),FALSE)</f>
        <v/>
      </c>
      <c r="H88" t="str">
        <f>VLOOKUP(RobotGameScores3[[#This Row],[Red Team Number]],'Game Scores'!$B:$I,2+COUNTIF($C$2:E88,E88),FALSE)</f>
        <v/>
      </c>
      <c r="I88" s="50" t="str">
        <f>IF(SUM(RobotGameScores3[[#This Row],[Blue Team Score]:[Red Team Score]])=0,"",SUM(RobotGameScores3[[#This Row],[Blue Team Score]:[Red Team Score]]))</f>
        <v/>
      </c>
      <c r="J88" s="50" t="str">
        <f>IF(RobotGameScores3[[#This Row],[Blue Team Number]]="","",_xlfn.RANK.EQ(RobotGameScores3[[#This Row],[Highest Combined Score]],CombinedMatchScore))</f>
        <v/>
      </c>
    </row>
    <row r="89" spans="1:10" ht="21" customHeight="1" x14ac:dyDescent="0.25">
      <c r="A89">
        <v>88</v>
      </c>
      <c r="C89" s="8"/>
      <c r="D89" s="20"/>
      <c r="F89" s="20"/>
      <c r="G89" t="str">
        <f>VLOOKUP(RobotGameScores3[[#This Row],[Blue Team Number]],'Game Scores'!$B:$I,2+COUNTIF($C$2:E89,C89),FALSE)</f>
        <v/>
      </c>
      <c r="H89" t="str">
        <f>VLOOKUP(RobotGameScores3[[#This Row],[Red Team Number]],'Game Scores'!$B:$I,2+COUNTIF($C$2:E89,E89),FALSE)</f>
        <v/>
      </c>
      <c r="I89" s="50" t="str">
        <f>IF(SUM(RobotGameScores3[[#This Row],[Blue Team Score]:[Red Team Score]])=0,"",SUM(RobotGameScores3[[#This Row],[Blue Team Score]:[Red Team Score]]))</f>
        <v/>
      </c>
      <c r="J89" s="50" t="str">
        <f>IF(RobotGameScores3[[#This Row],[Blue Team Number]]="","",_xlfn.RANK.EQ(RobotGameScores3[[#This Row],[Highest Combined Score]],CombinedMatchScore))</f>
        <v/>
      </c>
    </row>
    <row r="90" spans="1:10" ht="21" customHeight="1" x14ac:dyDescent="0.25">
      <c r="A90">
        <v>89</v>
      </c>
      <c r="C90" s="8"/>
      <c r="D90" s="20"/>
      <c r="F90" s="20"/>
      <c r="G90" t="str">
        <f>VLOOKUP(RobotGameScores3[[#This Row],[Blue Team Number]],'Game Scores'!$B:$I,2+COUNTIF($C$2:E90,C90),FALSE)</f>
        <v/>
      </c>
      <c r="H90" t="str">
        <f>VLOOKUP(RobotGameScores3[[#This Row],[Red Team Number]],'Game Scores'!$B:$I,2+COUNTIF($C$2:E90,E90),FALSE)</f>
        <v/>
      </c>
      <c r="I90" s="50" t="str">
        <f>IF(SUM(RobotGameScores3[[#This Row],[Blue Team Score]:[Red Team Score]])=0,"",SUM(RobotGameScores3[[#This Row],[Blue Team Score]:[Red Team Score]]))</f>
        <v/>
      </c>
      <c r="J90" s="50" t="str">
        <f>IF(RobotGameScores3[[#This Row],[Blue Team Number]]="","",_xlfn.RANK.EQ(RobotGameScores3[[#This Row],[Highest Combined Score]],CombinedMatchScore))</f>
        <v/>
      </c>
    </row>
    <row r="91" spans="1:10" ht="21" customHeight="1" x14ac:dyDescent="0.25">
      <c r="A91">
        <v>90</v>
      </c>
      <c r="C91" s="8"/>
      <c r="D91" s="20"/>
      <c r="F91" s="20"/>
      <c r="G91" t="str">
        <f>VLOOKUP(RobotGameScores3[[#This Row],[Blue Team Number]],'Game Scores'!$B:$I,2+COUNTIF($C$2:E91,C91),FALSE)</f>
        <v/>
      </c>
      <c r="H91" t="str">
        <f>VLOOKUP(RobotGameScores3[[#This Row],[Red Team Number]],'Game Scores'!$B:$I,2+COUNTIF($C$2:E91,E91),FALSE)</f>
        <v/>
      </c>
      <c r="I91" s="50" t="str">
        <f>IF(SUM(RobotGameScores3[[#This Row],[Blue Team Score]:[Red Team Score]])=0,"",SUM(RobotGameScores3[[#This Row],[Blue Team Score]:[Red Team Score]]))</f>
        <v/>
      </c>
      <c r="J91" s="50" t="str">
        <f>IF(RobotGameScores3[[#This Row],[Blue Team Number]]="","",_xlfn.RANK.EQ(RobotGameScores3[[#This Row],[Highest Combined Score]],CombinedMatchScore))</f>
        <v/>
      </c>
    </row>
    <row r="92" spans="1:10" ht="21" customHeight="1" x14ac:dyDescent="0.25">
      <c r="A92">
        <v>91</v>
      </c>
      <c r="C92" s="8"/>
      <c r="D92" s="20"/>
      <c r="F92" s="20"/>
      <c r="G92" t="str">
        <f>VLOOKUP(RobotGameScores3[[#This Row],[Blue Team Number]],'Game Scores'!$B:$I,2+COUNTIF($C$2:E92,C92),FALSE)</f>
        <v/>
      </c>
      <c r="H92" t="str">
        <f>VLOOKUP(RobotGameScores3[[#This Row],[Red Team Number]],'Game Scores'!$B:$I,2+COUNTIF($C$2:E92,E92),FALSE)</f>
        <v/>
      </c>
      <c r="I92" s="50" t="str">
        <f>IF(SUM(RobotGameScores3[[#This Row],[Blue Team Score]:[Red Team Score]])=0,"",SUM(RobotGameScores3[[#This Row],[Blue Team Score]:[Red Team Score]]))</f>
        <v/>
      </c>
      <c r="J92" s="50" t="str">
        <f>IF(RobotGameScores3[[#This Row],[Blue Team Number]]="","",_xlfn.RANK.EQ(RobotGameScores3[[#This Row],[Highest Combined Score]],CombinedMatchScore))</f>
        <v/>
      </c>
    </row>
    <row r="93" spans="1:10" ht="21" customHeight="1" x14ac:dyDescent="0.25">
      <c r="A93">
        <v>92</v>
      </c>
      <c r="C93" s="8"/>
      <c r="D93" s="20"/>
      <c r="F93" s="20"/>
      <c r="G93" t="str">
        <f>VLOOKUP(RobotGameScores3[[#This Row],[Blue Team Number]],'Game Scores'!$B:$I,2+COUNTIF($C$2:E93,C93),FALSE)</f>
        <v/>
      </c>
      <c r="H93" t="str">
        <f>VLOOKUP(RobotGameScores3[[#This Row],[Red Team Number]],'Game Scores'!$B:$I,2+COUNTIF($C$2:E93,E93),FALSE)</f>
        <v/>
      </c>
      <c r="I93" s="50" t="str">
        <f>IF(SUM(RobotGameScores3[[#This Row],[Blue Team Score]:[Red Team Score]])=0,"",SUM(RobotGameScores3[[#This Row],[Blue Team Score]:[Red Team Score]]))</f>
        <v/>
      </c>
      <c r="J93" s="50" t="str">
        <f>IF(RobotGameScores3[[#This Row],[Blue Team Number]]="","",_xlfn.RANK.EQ(RobotGameScores3[[#This Row],[Highest Combined Score]],CombinedMatchScore))</f>
        <v/>
      </c>
    </row>
    <row r="94" spans="1:10" ht="21" customHeight="1" x14ac:dyDescent="0.25">
      <c r="A94">
        <v>93</v>
      </c>
      <c r="C94" s="8"/>
      <c r="D94" s="20"/>
      <c r="F94" s="20"/>
      <c r="G94" t="str">
        <f>VLOOKUP(RobotGameScores3[[#This Row],[Blue Team Number]],'Game Scores'!$B:$I,2+COUNTIF($C$2:E94,C94),FALSE)</f>
        <v/>
      </c>
      <c r="H94" t="str">
        <f>VLOOKUP(RobotGameScores3[[#This Row],[Red Team Number]],'Game Scores'!$B:$I,2+COUNTIF($C$2:E94,E94),FALSE)</f>
        <v/>
      </c>
      <c r="I94" s="50" t="str">
        <f>IF(SUM(RobotGameScores3[[#This Row],[Blue Team Score]:[Red Team Score]])=0,"",SUM(RobotGameScores3[[#This Row],[Blue Team Score]:[Red Team Score]]))</f>
        <v/>
      </c>
      <c r="J94" s="50" t="str">
        <f>IF(RobotGameScores3[[#This Row],[Blue Team Number]]="","",_xlfn.RANK.EQ(RobotGameScores3[[#This Row],[Highest Combined Score]],CombinedMatchScore))</f>
        <v/>
      </c>
    </row>
    <row r="95" spans="1:10" ht="21" customHeight="1" x14ac:dyDescent="0.25">
      <c r="A95">
        <v>94</v>
      </c>
      <c r="C95" s="8"/>
      <c r="D95" s="20"/>
      <c r="F95" s="20"/>
      <c r="G95" t="str">
        <f>VLOOKUP(RobotGameScores3[[#This Row],[Blue Team Number]],'Game Scores'!$B:$I,2+COUNTIF($C$2:E95,C95),FALSE)</f>
        <v/>
      </c>
      <c r="H95" t="str">
        <f>VLOOKUP(RobotGameScores3[[#This Row],[Red Team Number]],'Game Scores'!$B:$I,2+COUNTIF($C$2:E95,E95),FALSE)</f>
        <v/>
      </c>
      <c r="I95" s="50" t="str">
        <f>IF(SUM(RobotGameScores3[[#This Row],[Blue Team Score]:[Red Team Score]])=0,"",SUM(RobotGameScores3[[#This Row],[Blue Team Score]:[Red Team Score]]))</f>
        <v/>
      </c>
      <c r="J95" s="50" t="str">
        <f>IF(RobotGameScores3[[#This Row],[Blue Team Number]]="","",_xlfn.RANK.EQ(RobotGameScores3[[#This Row],[Highest Combined Score]],CombinedMatchScore))</f>
        <v/>
      </c>
    </row>
    <row r="96" spans="1:10" ht="21" customHeight="1" x14ac:dyDescent="0.25">
      <c r="A96">
        <v>95</v>
      </c>
      <c r="C96" s="8"/>
      <c r="D96" s="20"/>
      <c r="F96" s="20"/>
      <c r="G96" t="str">
        <f>VLOOKUP(RobotGameScores3[[#This Row],[Blue Team Number]],'Game Scores'!$B:$I,2+COUNTIF($C$2:E96,C96),FALSE)</f>
        <v/>
      </c>
      <c r="H96" t="str">
        <f>VLOOKUP(RobotGameScores3[[#This Row],[Red Team Number]],'Game Scores'!$B:$I,2+COUNTIF($C$2:E96,E96),FALSE)</f>
        <v/>
      </c>
      <c r="I96" s="50" t="str">
        <f>IF(SUM(RobotGameScores3[[#This Row],[Blue Team Score]:[Red Team Score]])=0,"",SUM(RobotGameScores3[[#This Row],[Blue Team Score]:[Red Team Score]]))</f>
        <v/>
      </c>
      <c r="J96" s="50" t="str">
        <f>IF(RobotGameScores3[[#This Row],[Blue Team Number]]="","",_xlfn.RANK.EQ(RobotGameScores3[[#This Row],[Highest Combined Score]],CombinedMatchScore))</f>
        <v/>
      </c>
    </row>
    <row r="97" spans="1:10" ht="21" customHeight="1" x14ac:dyDescent="0.25">
      <c r="A97">
        <v>96</v>
      </c>
      <c r="C97" s="8"/>
      <c r="D97" s="20"/>
      <c r="F97" s="20"/>
      <c r="G97" t="str">
        <f>VLOOKUP(RobotGameScores3[[#This Row],[Blue Team Number]],'Game Scores'!$B:$I,2+COUNTIF($C$2:E97,C97),FALSE)</f>
        <v/>
      </c>
      <c r="H97" t="str">
        <f>VLOOKUP(RobotGameScores3[[#This Row],[Red Team Number]],'Game Scores'!$B:$I,2+COUNTIF($C$2:E97,E97),FALSE)</f>
        <v/>
      </c>
      <c r="I97" s="50" t="str">
        <f>IF(SUM(RobotGameScores3[[#This Row],[Blue Team Score]:[Red Team Score]])=0,"",SUM(RobotGameScores3[[#This Row],[Blue Team Score]:[Red Team Score]]))</f>
        <v/>
      </c>
      <c r="J97" s="50" t="str">
        <f>IF(RobotGameScores3[[#This Row],[Blue Team Number]]="","",_xlfn.RANK.EQ(RobotGameScores3[[#This Row],[Highest Combined Score]],CombinedMatchScore))</f>
        <v/>
      </c>
    </row>
    <row r="98" spans="1:10" ht="21" customHeight="1" x14ac:dyDescent="0.25">
      <c r="A98">
        <v>97</v>
      </c>
      <c r="C98" s="8"/>
      <c r="D98" s="20"/>
      <c r="F98" s="20"/>
      <c r="G98" t="str">
        <f>VLOOKUP(RobotGameScores3[[#This Row],[Blue Team Number]],'Game Scores'!$B:$I,2+COUNTIF($C$2:E98,C98),FALSE)</f>
        <v/>
      </c>
      <c r="H98" t="str">
        <f>VLOOKUP(RobotGameScores3[[#This Row],[Red Team Number]],'Game Scores'!$B:$I,2+COUNTIF($C$2:E98,E98),FALSE)</f>
        <v/>
      </c>
      <c r="I98" s="50" t="str">
        <f>IF(SUM(RobotGameScores3[[#This Row],[Blue Team Score]:[Red Team Score]])=0,"",SUM(RobotGameScores3[[#This Row],[Blue Team Score]:[Red Team Score]]))</f>
        <v/>
      </c>
      <c r="J98" s="50" t="str">
        <f>IF(RobotGameScores3[[#This Row],[Blue Team Number]]="","",_xlfn.RANK.EQ(RobotGameScores3[[#This Row],[Highest Combined Score]],CombinedMatchScore))</f>
        <v/>
      </c>
    </row>
    <row r="99" spans="1:10" ht="21" customHeight="1" x14ac:dyDescent="0.25">
      <c r="A99">
        <v>98</v>
      </c>
      <c r="C99" s="8"/>
      <c r="D99" s="20"/>
      <c r="F99" s="20"/>
      <c r="G99" t="str">
        <f>VLOOKUP(RobotGameScores3[[#This Row],[Blue Team Number]],'Game Scores'!$B:$I,2+COUNTIF($C$2:E99,C99),FALSE)</f>
        <v/>
      </c>
      <c r="H99" t="str">
        <f>VLOOKUP(RobotGameScores3[[#This Row],[Red Team Number]],'Game Scores'!$B:$I,2+COUNTIF($C$2:E99,E99),FALSE)</f>
        <v/>
      </c>
      <c r="I99" s="50" t="str">
        <f>IF(SUM(RobotGameScores3[[#This Row],[Blue Team Score]:[Red Team Score]])=0,"",SUM(RobotGameScores3[[#This Row],[Blue Team Score]:[Red Team Score]]))</f>
        <v/>
      </c>
      <c r="J99" s="50" t="str">
        <f>IF(RobotGameScores3[[#This Row],[Blue Team Number]]="","",_xlfn.RANK.EQ(RobotGameScores3[[#This Row],[Highest Combined Score]],CombinedMatchScore))</f>
        <v/>
      </c>
    </row>
    <row r="100" spans="1:10" ht="21" customHeight="1" x14ac:dyDescent="0.25">
      <c r="A100">
        <v>99</v>
      </c>
      <c r="C100" s="8"/>
      <c r="D100" s="20"/>
      <c r="F100" s="20"/>
      <c r="G100" t="str">
        <f>VLOOKUP(RobotGameScores3[[#This Row],[Blue Team Number]],'Game Scores'!$B:$I,2+COUNTIF($C$2:E100,C100),FALSE)</f>
        <v/>
      </c>
      <c r="H100" t="str">
        <f>VLOOKUP(RobotGameScores3[[#This Row],[Red Team Number]],'Game Scores'!$B:$I,2+COUNTIF($C$2:E100,E100),FALSE)</f>
        <v/>
      </c>
      <c r="I100" s="50" t="str">
        <f>IF(SUM(RobotGameScores3[[#This Row],[Blue Team Score]:[Red Team Score]])=0,"",SUM(RobotGameScores3[[#This Row],[Blue Team Score]:[Red Team Score]]))</f>
        <v/>
      </c>
      <c r="J100" s="50" t="str">
        <f>IF(RobotGameScores3[[#This Row],[Blue Team Number]]="","",_xlfn.RANK.EQ(RobotGameScores3[[#This Row],[Highest Combined Score]],CombinedMatchScore))</f>
        <v/>
      </c>
    </row>
    <row r="101" spans="1:10" ht="21" customHeight="1" x14ac:dyDescent="0.25">
      <c r="A101">
        <v>100</v>
      </c>
      <c r="C101" s="8"/>
      <c r="D101" s="20"/>
      <c r="F101" s="20"/>
      <c r="G101" t="str">
        <f>VLOOKUP(RobotGameScores3[[#This Row],[Blue Team Number]],'Game Scores'!$B:$I,2+COUNTIF($C$2:E101,C101),FALSE)</f>
        <v/>
      </c>
      <c r="H101" t="str">
        <f>VLOOKUP(RobotGameScores3[[#This Row],[Red Team Number]],'Game Scores'!$B:$I,2+COUNTIF($C$2:E101,E101),FALSE)</f>
        <v/>
      </c>
      <c r="I101" s="50" t="str">
        <f>IF(SUM(RobotGameScores3[[#This Row],[Blue Team Score]:[Red Team Score]])=0,"",SUM(RobotGameScores3[[#This Row],[Blue Team Score]:[Red Team Score]]))</f>
        <v/>
      </c>
      <c r="J101" s="50" t="str">
        <f>IF(RobotGameScores3[[#This Row],[Blue Team Number]]="","",_xlfn.RANK.EQ(RobotGameScores3[[#This Row],[Highest Combined Score]],CombinedMatchScore))</f>
        <v/>
      </c>
    </row>
    <row r="102" spans="1:10" ht="21" customHeight="1" x14ac:dyDescent="0.25">
      <c r="A102">
        <v>101</v>
      </c>
      <c r="C102" s="8"/>
      <c r="D102" s="20"/>
      <c r="F102" s="20"/>
      <c r="G102" t="str">
        <f>VLOOKUP(RobotGameScores3[[#This Row],[Blue Team Number]],'Game Scores'!$B:$I,2+COUNTIF($C$2:E102,C102),FALSE)</f>
        <v/>
      </c>
      <c r="H102" t="str">
        <f>VLOOKUP(RobotGameScores3[[#This Row],[Red Team Number]],'Game Scores'!$B:$I,2+COUNTIF($C$2:E102,E102),FALSE)</f>
        <v/>
      </c>
      <c r="I102" s="50" t="str">
        <f>IF(SUM(RobotGameScores3[[#This Row],[Blue Team Score]:[Red Team Score]])=0,"",SUM(RobotGameScores3[[#This Row],[Blue Team Score]:[Red Team Score]]))</f>
        <v/>
      </c>
      <c r="J102" s="50" t="str">
        <f>IF(RobotGameScores3[[#This Row],[Blue Team Number]]="","",_xlfn.RANK.EQ(RobotGameScores3[[#This Row],[Highest Combined Score]],CombinedMatchScore))</f>
        <v/>
      </c>
    </row>
    <row r="103" spans="1:10" ht="21" customHeight="1" x14ac:dyDescent="0.25">
      <c r="A103">
        <v>102</v>
      </c>
      <c r="C103" s="8"/>
      <c r="D103" s="20"/>
      <c r="F103" s="20"/>
      <c r="G103" t="str">
        <f>VLOOKUP(RobotGameScores3[[#This Row],[Blue Team Number]],'Game Scores'!$B:$I,2+COUNTIF($C$2:E103,C103),FALSE)</f>
        <v/>
      </c>
      <c r="H103" t="str">
        <f>VLOOKUP(RobotGameScores3[[#This Row],[Red Team Number]],'Game Scores'!$B:$I,2+COUNTIF($C$2:E103,E103),FALSE)</f>
        <v/>
      </c>
      <c r="I103" s="50" t="str">
        <f>IF(SUM(RobotGameScores3[[#This Row],[Blue Team Score]:[Red Team Score]])=0,"",SUM(RobotGameScores3[[#This Row],[Blue Team Score]:[Red Team Score]]))</f>
        <v/>
      </c>
      <c r="J103" s="50" t="str">
        <f>IF(RobotGameScores3[[#This Row],[Blue Team Number]]="","",_xlfn.RANK.EQ(RobotGameScores3[[#This Row],[Highest Combined Score]],CombinedMatchScore))</f>
        <v/>
      </c>
    </row>
    <row r="104" spans="1:10" ht="21" customHeight="1" x14ac:dyDescent="0.25">
      <c r="A104">
        <v>103</v>
      </c>
      <c r="C104" s="8"/>
      <c r="D104" s="20"/>
      <c r="F104" s="20"/>
      <c r="G104" t="str">
        <f>VLOOKUP(RobotGameScores3[[#This Row],[Blue Team Number]],'Game Scores'!$B:$I,2+COUNTIF($C$2:E104,C104),FALSE)</f>
        <v/>
      </c>
      <c r="H104" t="str">
        <f>VLOOKUP(RobotGameScores3[[#This Row],[Red Team Number]],'Game Scores'!$B:$I,2+COUNTIF($C$2:E104,E104),FALSE)</f>
        <v/>
      </c>
      <c r="I104" s="50" t="str">
        <f>IF(SUM(RobotGameScores3[[#This Row],[Blue Team Score]:[Red Team Score]])=0,"",SUM(RobotGameScores3[[#This Row],[Blue Team Score]:[Red Team Score]]))</f>
        <v/>
      </c>
      <c r="J104" s="50" t="str">
        <f>IF(RobotGameScores3[[#This Row],[Blue Team Number]]="","",_xlfn.RANK.EQ(RobotGameScores3[[#This Row],[Highest Combined Score]],CombinedMatchScore))</f>
        <v/>
      </c>
    </row>
    <row r="105" spans="1:10" ht="21" customHeight="1" x14ac:dyDescent="0.25">
      <c r="A105">
        <v>104</v>
      </c>
      <c r="C105" s="8"/>
      <c r="D105" s="20"/>
      <c r="F105" s="20"/>
      <c r="G105" t="str">
        <f>VLOOKUP(RobotGameScores3[[#This Row],[Blue Team Number]],'Game Scores'!$B:$I,2+COUNTIF($C$2:E105,C105),FALSE)</f>
        <v/>
      </c>
      <c r="H105" t="str">
        <f>VLOOKUP(RobotGameScores3[[#This Row],[Red Team Number]],'Game Scores'!$B:$I,2+COUNTIF($C$2:E105,E105),FALSE)</f>
        <v/>
      </c>
      <c r="I105" s="50" t="str">
        <f>IF(SUM(RobotGameScores3[[#This Row],[Blue Team Score]:[Red Team Score]])=0,"",SUM(RobotGameScores3[[#This Row],[Blue Team Score]:[Red Team Score]]))</f>
        <v/>
      </c>
      <c r="J105" s="50" t="str">
        <f>IF(RobotGameScores3[[#This Row],[Blue Team Number]]="","",_xlfn.RANK.EQ(RobotGameScores3[[#This Row],[Highest Combined Score]],CombinedMatchScore))</f>
        <v/>
      </c>
    </row>
    <row r="106" spans="1:10" ht="21" customHeight="1" x14ac:dyDescent="0.25">
      <c r="A106">
        <v>105</v>
      </c>
      <c r="C106" s="8"/>
      <c r="D106" s="20"/>
      <c r="F106" s="20"/>
      <c r="G106" t="str">
        <f>VLOOKUP(RobotGameScores3[[#This Row],[Blue Team Number]],'Game Scores'!$B:$I,2+COUNTIF($C$2:E106,C106),FALSE)</f>
        <v/>
      </c>
      <c r="H106" t="str">
        <f>VLOOKUP(RobotGameScores3[[#This Row],[Red Team Number]],'Game Scores'!$B:$I,2+COUNTIF($C$2:E106,E106),FALSE)</f>
        <v/>
      </c>
      <c r="I106" s="50" t="str">
        <f>IF(SUM(RobotGameScores3[[#This Row],[Blue Team Score]:[Red Team Score]])=0,"",SUM(RobotGameScores3[[#This Row],[Blue Team Score]:[Red Team Score]]))</f>
        <v/>
      </c>
      <c r="J106" s="50" t="str">
        <f>IF(RobotGameScores3[[#This Row],[Blue Team Number]]="","",_xlfn.RANK.EQ(RobotGameScores3[[#This Row],[Highest Combined Score]],CombinedMatchScore))</f>
        <v/>
      </c>
    </row>
    <row r="107" spans="1:10" ht="21" customHeight="1" x14ac:dyDescent="0.25">
      <c r="A107">
        <v>106</v>
      </c>
      <c r="C107" s="8"/>
      <c r="D107" s="20"/>
      <c r="F107" s="20"/>
      <c r="G107" t="str">
        <f>VLOOKUP(RobotGameScores3[[#This Row],[Blue Team Number]],'Game Scores'!$B:$I,2+COUNTIF($C$2:E107,C107),FALSE)</f>
        <v/>
      </c>
      <c r="H107" t="str">
        <f>VLOOKUP(RobotGameScores3[[#This Row],[Red Team Number]],'Game Scores'!$B:$I,2+COUNTIF($C$2:E107,E107),FALSE)</f>
        <v/>
      </c>
      <c r="I107" s="50" t="str">
        <f>IF(SUM(RobotGameScores3[[#This Row],[Blue Team Score]:[Red Team Score]])=0,"",SUM(RobotGameScores3[[#This Row],[Blue Team Score]:[Red Team Score]]))</f>
        <v/>
      </c>
      <c r="J107" s="50" t="str">
        <f>IF(RobotGameScores3[[#This Row],[Blue Team Number]]="","",_xlfn.RANK.EQ(RobotGameScores3[[#This Row],[Highest Combined Score]],CombinedMatchScore))</f>
        <v/>
      </c>
    </row>
    <row r="108" spans="1:10" ht="21" customHeight="1" x14ac:dyDescent="0.25">
      <c r="A108">
        <v>107</v>
      </c>
      <c r="C108" s="8"/>
      <c r="D108" s="20"/>
      <c r="F108" s="20"/>
      <c r="G108" t="str">
        <f>VLOOKUP(RobotGameScores3[[#This Row],[Blue Team Number]],'Game Scores'!$B:$I,2+COUNTIF($C$2:E108,C108),FALSE)</f>
        <v/>
      </c>
      <c r="H108" t="str">
        <f>VLOOKUP(RobotGameScores3[[#This Row],[Red Team Number]],'Game Scores'!$B:$I,2+COUNTIF($C$2:E108,E108),FALSE)</f>
        <v/>
      </c>
      <c r="I108" s="50" t="str">
        <f>IF(SUM(RobotGameScores3[[#This Row],[Blue Team Score]:[Red Team Score]])=0,"",SUM(RobotGameScores3[[#This Row],[Blue Team Score]:[Red Team Score]]))</f>
        <v/>
      </c>
      <c r="J108" s="50" t="str">
        <f>IF(RobotGameScores3[[#This Row],[Blue Team Number]]="","",_xlfn.RANK.EQ(RobotGameScores3[[#This Row],[Highest Combined Score]],CombinedMatchScore))</f>
        <v/>
      </c>
    </row>
    <row r="109" spans="1:10" ht="21" customHeight="1" x14ac:dyDescent="0.25">
      <c r="A109">
        <v>108</v>
      </c>
      <c r="C109" s="8"/>
      <c r="D109" s="20"/>
      <c r="F109" s="20"/>
      <c r="G109" t="str">
        <f>VLOOKUP(RobotGameScores3[[#This Row],[Blue Team Number]],'Game Scores'!$B:$I,2+COUNTIF($C$2:E109,C109),FALSE)</f>
        <v/>
      </c>
      <c r="H109" t="str">
        <f>VLOOKUP(RobotGameScores3[[#This Row],[Red Team Number]],'Game Scores'!$B:$I,2+COUNTIF($C$2:E109,E109),FALSE)</f>
        <v/>
      </c>
      <c r="I109" s="50" t="str">
        <f>IF(SUM(RobotGameScores3[[#This Row],[Blue Team Score]:[Red Team Score]])=0,"",SUM(RobotGameScores3[[#This Row],[Blue Team Score]:[Red Team Score]]))</f>
        <v/>
      </c>
      <c r="J109" s="50" t="str">
        <f>IF(RobotGameScores3[[#This Row],[Blue Team Number]]="","",_xlfn.RANK.EQ(RobotGameScores3[[#This Row],[Highest Combined Score]],CombinedMatchScore))</f>
        <v/>
      </c>
    </row>
    <row r="110" spans="1:10" ht="21" customHeight="1" x14ac:dyDescent="0.25">
      <c r="A110">
        <v>109</v>
      </c>
      <c r="C110" s="8"/>
      <c r="D110" s="20"/>
      <c r="F110" s="20"/>
      <c r="G110" t="str">
        <f>VLOOKUP(RobotGameScores3[[#This Row],[Blue Team Number]],'Game Scores'!$B:$I,2+COUNTIF($C$2:E110,C110),FALSE)</f>
        <v/>
      </c>
      <c r="H110" t="str">
        <f>VLOOKUP(RobotGameScores3[[#This Row],[Red Team Number]],'Game Scores'!$B:$I,2+COUNTIF($C$2:E110,E110),FALSE)</f>
        <v/>
      </c>
      <c r="I110" s="50" t="str">
        <f>IF(SUM(RobotGameScores3[[#This Row],[Blue Team Score]:[Red Team Score]])=0,"",SUM(RobotGameScores3[[#This Row],[Blue Team Score]:[Red Team Score]]))</f>
        <v/>
      </c>
      <c r="J110" s="50" t="str">
        <f>IF(RobotGameScores3[[#This Row],[Blue Team Number]]="","",_xlfn.RANK.EQ(RobotGameScores3[[#This Row],[Highest Combined Score]],CombinedMatchScore))</f>
        <v/>
      </c>
    </row>
    <row r="111" spans="1:10" ht="21" customHeight="1" x14ac:dyDescent="0.25">
      <c r="A111">
        <v>110</v>
      </c>
      <c r="C111" s="8"/>
      <c r="D111" s="20"/>
      <c r="F111" s="20"/>
      <c r="G111" t="str">
        <f>VLOOKUP(RobotGameScores3[[#This Row],[Blue Team Number]],'Game Scores'!$B:$I,2+COUNTIF($C$2:E111,C111),FALSE)</f>
        <v/>
      </c>
      <c r="H111" t="str">
        <f>VLOOKUP(RobotGameScores3[[#This Row],[Red Team Number]],'Game Scores'!$B:$I,2+COUNTIF($C$2:E111,E111),FALSE)</f>
        <v/>
      </c>
      <c r="I111" s="50" t="str">
        <f>IF(SUM(RobotGameScores3[[#This Row],[Blue Team Score]:[Red Team Score]])=0,"",SUM(RobotGameScores3[[#This Row],[Blue Team Score]:[Red Team Score]]))</f>
        <v/>
      </c>
      <c r="J111" s="50" t="str">
        <f>IF(RobotGameScores3[[#This Row],[Blue Team Number]]="","",_xlfn.RANK.EQ(RobotGameScores3[[#This Row],[Highest Combined Score]],CombinedMatchScore))</f>
        <v/>
      </c>
    </row>
    <row r="112" spans="1:10" ht="21" customHeight="1" x14ac:dyDescent="0.25">
      <c r="A112">
        <v>111</v>
      </c>
      <c r="C112" s="8"/>
      <c r="D112" s="20"/>
      <c r="F112" s="20"/>
      <c r="G112" t="str">
        <f>VLOOKUP(RobotGameScores3[[#This Row],[Blue Team Number]],'Game Scores'!$B:$I,2+COUNTIF($C$2:E112,C112),FALSE)</f>
        <v/>
      </c>
      <c r="H112" t="str">
        <f>VLOOKUP(RobotGameScores3[[#This Row],[Red Team Number]],'Game Scores'!$B:$I,2+COUNTIF($C$2:E112,E112),FALSE)</f>
        <v/>
      </c>
      <c r="I112" s="50" t="str">
        <f>IF(SUM(RobotGameScores3[[#This Row],[Blue Team Score]:[Red Team Score]])=0,"",SUM(RobotGameScores3[[#This Row],[Blue Team Score]:[Red Team Score]]))</f>
        <v/>
      </c>
      <c r="J112" s="50" t="str">
        <f>IF(RobotGameScores3[[#This Row],[Blue Team Number]]="","",_xlfn.RANK.EQ(RobotGameScores3[[#This Row],[Highest Combined Score]],CombinedMatchScore))</f>
        <v/>
      </c>
    </row>
    <row r="113" spans="1:10" ht="21" customHeight="1" x14ac:dyDescent="0.25">
      <c r="A113">
        <v>112</v>
      </c>
      <c r="C113" s="8"/>
      <c r="D113" s="20"/>
      <c r="F113" s="20"/>
      <c r="G113" t="str">
        <f>VLOOKUP(RobotGameScores3[[#This Row],[Blue Team Number]],'Game Scores'!$B:$I,2+COUNTIF($C$2:E113,C113),FALSE)</f>
        <v/>
      </c>
      <c r="H113" t="str">
        <f>VLOOKUP(RobotGameScores3[[#This Row],[Red Team Number]],'Game Scores'!$B:$I,2+COUNTIF($C$2:E113,E113),FALSE)</f>
        <v/>
      </c>
      <c r="I113" s="50" t="str">
        <f>IF(SUM(RobotGameScores3[[#This Row],[Blue Team Score]:[Red Team Score]])=0,"",SUM(RobotGameScores3[[#This Row],[Blue Team Score]:[Red Team Score]]))</f>
        <v/>
      </c>
      <c r="J113" s="50" t="str">
        <f>IF(RobotGameScores3[[#This Row],[Blue Team Number]]="","",_xlfn.RANK.EQ(RobotGameScores3[[#This Row],[Highest Combined Score]],CombinedMatchScore))</f>
        <v/>
      </c>
    </row>
    <row r="114" spans="1:10" ht="21" customHeight="1" x14ac:dyDescent="0.25">
      <c r="A114">
        <v>113</v>
      </c>
      <c r="C114" s="8"/>
      <c r="D114" s="20"/>
      <c r="F114" s="20"/>
      <c r="G114" t="str">
        <f>VLOOKUP(RobotGameScores3[[#This Row],[Blue Team Number]],'Game Scores'!$B:$I,2+COUNTIF($C$2:E114,C114),FALSE)</f>
        <v/>
      </c>
      <c r="H114" t="str">
        <f>VLOOKUP(RobotGameScores3[[#This Row],[Red Team Number]],'Game Scores'!$B:$I,2+COUNTIF($C$2:E114,E114),FALSE)</f>
        <v/>
      </c>
      <c r="I114" s="50" t="str">
        <f>IF(SUM(RobotGameScores3[[#This Row],[Blue Team Score]:[Red Team Score]])=0,"",SUM(RobotGameScores3[[#This Row],[Blue Team Score]:[Red Team Score]]))</f>
        <v/>
      </c>
      <c r="J114" s="50" t="str">
        <f>IF(RobotGameScores3[[#This Row],[Blue Team Number]]="","",_xlfn.RANK.EQ(RobotGameScores3[[#This Row],[Highest Combined Score]],CombinedMatchScore))</f>
        <v/>
      </c>
    </row>
    <row r="115" spans="1:10" ht="21" customHeight="1" x14ac:dyDescent="0.25">
      <c r="A115">
        <v>114</v>
      </c>
      <c r="C115" s="8"/>
      <c r="D115" s="20"/>
      <c r="F115" s="20"/>
      <c r="G115" t="str">
        <f>VLOOKUP(RobotGameScores3[[#This Row],[Blue Team Number]],'Game Scores'!$B:$I,2+COUNTIF($C$2:E115,C115),FALSE)</f>
        <v/>
      </c>
      <c r="H115" t="str">
        <f>VLOOKUP(RobotGameScores3[[#This Row],[Red Team Number]],'Game Scores'!$B:$I,2+COUNTIF($C$2:E115,E115),FALSE)</f>
        <v/>
      </c>
      <c r="I115" s="50" t="str">
        <f>IF(SUM(RobotGameScores3[[#This Row],[Blue Team Score]:[Red Team Score]])=0,"",SUM(RobotGameScores3[[#This Row],[Blue Team Score]:[Red Team Score]]))</f>
        <v/>
      </c>
      <c r="J115" s="50" t="str">
        <f>IF(RobotGameScores3[[#This Row],[Blue Team Number]]="","",_xlfn.RANK.EQ(RobotGameScores3[[#This Row],[Highest Combined Score]],CombinedMatchScore))</f>
        <v/>
      </c>
    </row>
    <row r="116" spans="1:10" ht="21" customHeight="1" x14ac:dyDescent="0.25">
      <c r="A116">
        <v>115</v>
      </c>
      <c r="C116" s="8"/>
      <c r="D116" s="20"/>
      <c r="F116" s="20"/>
      <c r="G116" t="str">
        <f>VLOOKUP(RobotGameScores3[[#This Row],[Blue Team Number]],'Game Scores'!$B:$I,2+COUNTIF($C$2:E116,C116),FALSE)</f>
        <v/>
      </c>
      <c r="H116" t="str">
        <f>VLOOKUP(RobotGameScores3[[#This Row],[Red Team Number]],'Game Scores'!$B:$I,2+COUNTIF($C$2:E116,E116),FALSE)</f>
        <v/>
      </c>
      <c r="I116" s="50" t="str">
        <f>IF(SUM(RobotGameScores3[[#This Row],[Blue Team Score]:[Red Team Score]])=0,"",SUM(RobotGameScores3[[#This Row],[Blue Team Score]:[Red Team Score]]))</f>
        <v/>
      </c>
      <c r="J116" s="50" t="str">
        <f>IF(RobotGameScores3[[#This Row],[Blue Team Number]]="","",_xlfn.RANK.EQ(RobotGameScores3[[#This Row],[Highest Combined Score]],CombinedMatchScore))</f>
        <v/>
      </c>
    </row>
    <row r="117" spans="1:10" ht="21" customHeight="1" x14ac:dyDescent="0.25">
      <c r="A117">
        <v>116</v>
      </c>
      <c r="C117" s="8"/>
      <c r="D117" s="20"/>
      <c r="F117" s="20"/>
      <c r="G117" t="str">
        <f>VLOOKUP(RobotGameScores3[[#This Row],[Blue Team Number]],'Game Scores'!$B:$I,2+COUNTIF($C$2:E117,C117),FALSE)</f>
        <v/>
      </c>
      <c r="H117" t="str">
        <f>VLOOKUP(RobotGameScores3[[#This Row],[Red Team Number]],'Game Scores'!$B:$I,2+COUNTIF($C$2:E117,E117),FALSE)</f>
        <v/>
      </c>
      <c r="I117" s="50" t="str">
        <f>IF(SUM(RobotGameScores3[[#This Row],[Blue Team Score]:[Red Team Score]])=0,"",SUM(RobotGameScores3[[#This Row],[Blue Team Score]:[Red Team Score]]))</f>
        <v/>
      </c>
      <c r="J117" s="50" t="str">
        <f>IF(RobotGameScores3[[#This Row],[Blue Team Number]]="","",_xlfn.RANK.EQ(RobotGameScores3[[#This Row],[Highest Combined Score]],CombinedMatchScore))</f>
        <v/>
      </c>
    </row>
    <row r="118" spans="1:10" ht="21" customHeight="1" x14ac:dyDescent="0.25">
      <c r="A118">
        <v>117</v>
      </c>
      <c r="C118" s="8"/>
      <c r="D118" s="20"/>
      <c r="F118" s="20"/>
      <c r="G118" t="str">
        <f>VLOOKUP(RobotGameScores3[[#This Row],[Blue Team Number]],'Game Scores'!$B:$I,2+COUNTIF($C$2:E118,C118),FALSE)</f>
        <v/>
      </c>
      <c r="H118" t="str">
        <f>VLOOKUP(RobotGameScores3[[#This Row],[Red Team Number]],'Game Scores'!$B:$I,2+COUNTIF($C$2:E118,E118),FALSE)</f>
        <v/>
      </c>
      <c r="I118" s="50" t="str">
        <f>IF(SUM(RobotGameScores3[[#This Row],[Blue Team Score]:[Red Team Score]])=0,"",SUM(RobotGameScores3[[#This Row],[Blue Team Score]:[Red Team Score]]))</f>
        <v/>
      </c>
      <c r="J118" s="50" t="str">
        <f>IF(RobotGameScores3[[#This Row],[Blue Team Number]]="","",_xlfn.RANK.EQ(RobotGameScores3[[#This Row],[Highest Combined Score]],CombinedMatchScore))</f>
        <v/>
      </c>
    </row>
    <row r="119" spans="1:10" ht="21" customHeight="1" x14ac:dyDescent="0.25">
      <c r="A119">
        <v>118</v>
      </c>
      <c r="C119" s="8"/>
      <c r="D119" s="20"/>
      <c r="F119" s="20"/>
      <c r="G119" t="str">
        <f>VLOOKUP(RobotGameScores3[[#This Row],[Blue Team Number]],'Game Scores'!$B:$I,2+COUNTIF($C$2:E119,C119),FALSE)</f>
        <v/>
      </c>
      <c r="H119" t="str">
        <f>VLOOKUP(RobotGameScores3[[#This Row],[Red Team Number]],'Game Scores'!$B:$I,2+COUNTIF($C$2:E119,E119),FALSE)</f>
        <v/>
      </c>
      <c r="I119" s="50" t="str">
        <f>IF(SUM(RobotGameScores3[[#This Row],[Blue Team Score]:[Red Team Score]])=0,"",SUM(RobotGameScores3[[#This Row],[Blue Team Score]:[Red Team Score]]))</f>
        <v/>
      </c>
      <c r="J119" s="50" t="str">
        <f>IF(RobotGameScores3[[#This Row],[Blue Team Number]]="","",_xlfn.RANK.EQ(RobotGameScores3[[#This Row],[Highest Combined Score]],CombinedMatchScore))</f>
        <v/>
      </c>
    </row>
    <row r="120" spans="1:10" ht="21" customHeight="1" x14ac:dyDescent="0.25">
      <c r="A120">
        <v>119</v>
      </c>
      <c r="C120" s="8"/>
      <c r="D120" s="20"/>
      <c r="F120" s="20"/>
      <c r="G120" t="str">
        <f>VLOOKUP(RobotGameScores3[[#This Row],[Blue Team Number]],'Game Scores'!$B:$I,2+COUNTIF($C$2:E120,C120),FALSE)</f>
        <v/>
      </c>
      <c r="H120" t="str">
        <f>VLOOKUP(RobotGameScores3[[#This Row],[Red Team Number]],'Game Scores'!$B:$I,2+COUNTIF($C$2:E120,E120),FALSE)</f>
        <v/>
      </c>
      <c r="I120" s="50" t="str">
        <f>IF(SUM(RobotGameScores3[[#This Row],[Blue Team Score]:[Red Team Score]])=0,"",SUM(RobotGameScores3[[#This Row],[Blue Team Score]:[Red Team Score]]))</f>
        <v/>
      </c>
      <c r="J120" s="50" t="str">
        <f>IF(RobotGameScores3[[#This Row],[Blue Team Number]]="","",_xlfn.RANK.EQ(RobotGameScores3[[#This Row],[Highest Combined Score]],CombinedMatchScore))</f>
        <v/>
      </c>
    </row>
    <row r="121" spans="1:10" ht="21" customHeight="1" x14ac:dyDescent="0.25">
      <c r="A121">
        <v>120</v>
      </c>
      <c r="C121" s="8"/>
      <c r="D121" s="20"/>
      <c r="F121" s="20"/>
      <c r="G121" t="str">
        <f>VLOOKUP(RobotGameScores3[[#This Row],[Blue Team Number]],'Game Scores'!$B:$I,2+COUNTIF($C$2:E121,C121),FALSE)</f>
        <v/>
      </c>
      <c r="H121" t="str">
        <f>VLOOKUP(RobotGameScores3[[#This Row],[Red Team Number]],'Game Scores'!$B:$I,2+COUNTIF($C$2:E121,E121),FALSE)</f>
        <v/>
      </c>
      <c r="I121" s="50" t="str">
        <f>IF(SUM(RobotGameScores3[[#This Row],[Blue Team Score]:[Red Team Score]])=0,"",SUM(RobotGameScores3[[#This Row],[Blue Team Score]:[Red Team Score]]))</f>
        <v/>
      </c>
      <c r="J121" s="50" t="str">
        <f>IF(RobotGameScores3[[#This Row],[Blue Team Number]]="","",_xlfn.RANK.EQ(RobotGameScores3[[#This Row],[Highest Combined Score]],CombinedMatchScore))</f>
        <v/>
      </c>
    </row>
    <row r="122" spans="1:10" ht="21" customHeight="1" x14ac:dyDescent="0.25">
      <c r="A122">
        <v>121</v>
      </c>
      <c r="C122" s="8"/>
      <c r="D122" s="20"/>
      <c r="F122" s="20"/>
      <c r="G122" t="str">
        <f>VLOOKUP(RobotGameScores3[[#This Row],[Blue Team Number]],'Game Scores'!$B:$I,2+COUNTIF($C$2:E122,C122),FALSE)</f>
        <v/>
      </c>
      <c r="H122" t="str">
        <f>VLOOKUP(RobotGameScores3[[#This Row],[Red Team Number]],'Game Scores'!$B:$I,2+COUNTIF($C$2:E122,E122),FALSE)</f>
        <v/>
      </c>
      <c r="I122" s="50" t="str">
        <f>IF(SUM(RobotGameScores3[[#This Row],[Blue Team Score]:[Red Team Score]])=0,"",SUM(RobotGameScores3[[#This Row],[Blue Team Score]:[Red Team Score]]))</f>
        <v/>
      </c>
      <c r="J122" s="50" t="str">
        <f>IF(RobotGameScores3[[#This Row],[Blue Team Number]]="","",_xlfn.RANK.EQ(RobotGameScores3[[#This Row],[Highest Combined Score]],CombinedMatchScore))</f>
        <v/>
      </c>
    </row>
    <row r="123" spans="1:10" ht="21" customHeight="1" x14ac:dyDescent="0.25">
      <c r="A123">
        <v>122</v>
      </c>
      <c r="C123" s="8"/>
      <c r="D123" s="20"/>
      <c r="F123" s="20"/>
      <c r="G123" t="str">
        <f>VLOOKUP(RobotGameScores3[[#This Row],[Blue Team Number]],'Game Scores'!$B:$I,2+COUNTIF($C$2:E123,C123),FALSE)</f>
        <v/>
      </c>
      <c r="H123" t="str">
        <f>VLOOKUP(RobotGameScores3[[#This Row],[Red Team Number]],'Game Scores'!$B:$I,2+COUNTIF($C$2:E123,E123),FALSE)</f>
        <v/>
      </c>
      <c r="I123" s="50" t="str">
        <f>IF(SUM(RobotGameScores3[[#This Row],[Blue Team Score]:[Red Team Score]])=0,"",SUM(RobotGameScores3[[#This Row],[Blue Team Score]:[Red Team Score]]))</f>
        <v/>
      </c>
      <c r="J123" s="50" t="str">
        <f>IF(RobotGameScores3[[#This Row],[Blue Team Number]]="","",_xlfn.RANK.EQ(RobotGameScores3[[#This Row],[Highest Combined Score]],CombinedMatchScore))</f>
        <v/>
      </c>
    </row>
    <row r="124" spans="1:10" ht="21" customHeight="1" x14ac:dyDescent="0.25">
      <c r="A124">
        <v>123</v>
      </c>
      <c r="C124" s="8"/>
      <c r="D124" s="20"/>
      <c r="F124" s="20"/>
      <c r="G124" t="str">
        <f>VLOOKUP(RobotGameScores3[[#This Row],[Blue Team Number]],'Game Scores'!$B:$I,2+COUNTIF($C$2:E124,C124),FALSE)</f>
        <v/>
      </c>
      <c r="H124" t="str">
        <f>VLOOKUP(RobotGameScores3[[#This Row],[Red Team Number]],'Game Scores'!$B:$I,2+COUNTIF($C$2:E124,E124),FALSE)</f>
        <v/>
      </c>
      <c r="I124" s="50" t="str">
        <f>IF(SUM(RobotGameScores3[[#This Row],[Blue Team Score]:[Red Team Score]])=0,"",SUM(RobotGameScores3[[#This Row],[Blue Team Score]:[Red Team Score]]))</f>
        <v/>
      </c>
      <c r="J124" s="50" t="str">
        <f>IF(RobotGameScores3[[#This Row],[Blue Team Number]]="","",_xlfn.RANK.EQ(RobotGameScores3[[#This Row],[Highest Combined Score]],CombinedMatchScore))</f>
        <v/>
      </c>
    </row>
    <row r="125" spans="1:10" ht="21" customHeight="1" x14ac:dyDescent="0.25">
      <c r="A125">
        <v>124</v>
      </c>
      <c r="C125" s="8"/>
      <c r="D125" s="20"/>
      <c r="F125" s="20"/>
      <c r="G125" t="str">
        <f>VLOOKUP(RobotGameScores3[[#This Row],[Blue Team Number]],'Game Scores'!$B:$I,2+COUNTIF($C$2:E125,C125),FALSE)</f>
        <v/>
      </c>
      <c r="H125" t="str">
        <f>VLOOKUP(RobotGameScores3[[#This Row],[Red Team Number]],'Game Scores'!$B:$I,2+COUNTIF($C$2:E125,E125),FALSE)</f>
        <v/>
      </c>
      <c r="I125" s="50" t="str">
        <f>IF(SUM(RobotGameScores3[[#This Row],[Blue Team Score]:[Red Team Score]])=0,"",SUM(RobotGameScores3[[#This Row],[Blue Team Score]:[Red Team Score]]))</f>
        <v/>
      </c>
      <c r="J125" s="50" t="str">
        <f>IF(RobotGameScores3[[#This Row],[Blue Team Number]]="","",_xlfn.RANK.EQ(RobotGameScores3[[#This Row],[Highest Combined Score]],CombinedMatchScore))</f>
        <v/>
      </c>
    </row>
    <row r="126" spans="1:10" ht="21" customHeight="1" x14ac:dyDescent="0.25">
      <c r="A126">
        <v>125</v>
      </c>
      <c r="C126" s="8"/>
      <c r="D126" s="20"/>
      <c r="F126" s="20"/>
      <c r="G126" t="str">
        <f>VLOOKUP(RobotGameScores3[[#This Row],[Blue Team Number]],'Game Scores'!$B:$I,2+COUNTIF($C$2:E126,C126),FALSE)</f>
        <v/>
      </c>
      <c r="H126" t="str">
        <f>VLOOKUP(RobotGameScores3[[#This Row],[Red Team Number]],'Game Scores'!$B:$I,2+COUNTIF($C$2:E126,E126),FALSE)</f>
        <v/>
      </c>
      <c r="I126" s="50" t="str">
        <f>IF(SUM(RobotGameScores3[[#This Row],[Blue Team Score]:[Red Team Score]])=0,"",SUM(RobotGameScores3[[#This Row],[Blue Team Score]:[Red Team Score]]))</f>
        <v/>
      </c>
      <c r="J126" s="50" t="str">
        <f>IF(RobotGameScores3[[#This Row],[Blue Team Number]]="","",_xlfn.RANK.EQ(RobotGameScores3[[#This Row],[Highest Combined Score]],CombinedMatchScore))</f>
        <v/>
      </c>
    </row>
    <row r="127" spans="1:10" ht="21" customHeight="1" x14ac:dyDescent="0.25">
      <c r="A127">
        <v>126</v>
      </c>
      <c r="C127" s="8"/>
      <c r="D127" s="20"/>
      <c r="F127" s="20"/>
      <c r="G127" t="str">
        <f>VLOOKUP(RobotGameScores3[[#This Row],[Blue Team Number]],'Game Scores'!$B:$I,2+COUNTIF($C$2:E127,C127),FALSE)</f>
        <v/>
      </c>
      <c r="H127" t="str">
        <f>VLOOKUP(RobotGameScores3[[#This Row],[Red Team Number]],'Game Scores'!$B:$I,2+COUNTIF($C$2:E127,E127),FALSE)</f>
        <v/>
      </c>
      <c r="I127" s="50" t="str">
        <f>IF(SUM(RobotGameScores3[[#This Row],[Blue Team Score]:[Red Team Score]])=0,"",SUM(RobotGameScores3[[#This Row],[Blue Team Score]:[Red Team Score]]))</f>
        <v/>
      </c>
      <c r="J127" s="50" t="str">
        <f>IF(RobotGameScores3[[#This Row],[Blue Team Number]]="","",_xlfn.RANK.EQ(RobotGameScores3[[#This Row],[Highest Combined Score]],CombinedMatchScore))</f>
        <v/>
      </c>
    </row>
    <row r="128" spans="1:10" ht="21" customHeight="1" x14ac:dyDescent="0.25">
      <c r="A128">
        <v>127</v>
      </c>
      <c r="C128" s="8"/>
      <c r="D128" s="20"/>
      <c r="F128" s="20"/>
      <c r="G128" t="str">
        <f>VLOOKUP(RobotGameScores3[[#This Row],[Blue Team Number]],'Game Scores'!$B:$I,2+COUNTIF($C$2:E128,C128),FALSE)</f>
        <v/>
      </c>
      <c r="H128" t="str">
        <f>VLOOKUP(RobotGameScores3[[#This Row],[Red Team Number]],'Game Scores'!$B:$I,2+COUNTIF($C$2:E128,E128),FALSE)</f>
        <v/>
      </c>
      <c r="I128" s="50" t="str">
        <f>IF(SUM(RobotGameScores3[[#This Row],[Blue Team Score]:[Red Team Score]])=0,"",SUM(RobotGameScores3[[#This Row],[Blue Team Score]:[Red Team Score]]))</f>
        <v/>
      </c>
      <c r="J128" s="50" t="str">
        <f>IF(RobotGameScores3[[#This Row],[Blue Team Number]]="","",_xlfn.RANK.EQ(RobotGameScores3[[#This Row],[Highest Combined Score]],CombinedMatchScore))</f>
        <v/>
      </c>
    </row>
    <row r="129" spans="1:10" ht="21" customHeight="1" x14ac:dyDescent="0.25">
      <c r="A129">
        <v>128</v>
      </c>
      <c r="C129" s="8"/>
      <c r="D129" s="20"/>
      <c r="F129" s="20"/>
      <c r="G129" t="str">
        <f>VLOOKUP(RobotGameScores3[[#This Row],[Blue Team Number]],'Game Scores'!$B:$I,2+COUNTIF($C$2:E129,C129),FALSE)</f>
        <v/>
      </c>
      <c r="H129" t="str">
        <f>VLOOKUP(RobotGameScores3[[#This Row],[Red Team Number]],'Game Scores'!$B:$I,2+COUNTIF($C$2:E129,E129),FALSE)</f>
        <v/>
      </c>
      <c r="I129" s="50" t="str">
        <f>IF(SUM(RobotGameScores3[[#This Row],[Blue Team Score]:[Red Team Score]])=0,"",SUM(RobotGameScores3[[#This Row],[Blue Team Score]:[Red Team Score]]))</f>
        <v/>
      </c>
      <c r="J129" s="50" t="str">
        <f>IF(RobotGameScores3[[#This Row],[Blue Team Number]]="","",_xlfn.RANK.EQ(RobotGameScores3[[#This Row],[Highest Combined Score]],CombinedMatchScore))</f>
        <v/>
      </c>
    </row>
    <row r="130" spans="1:10" ht="21" customHeight="1" x14ac:dyDescent="0.25">
      <c r="A130">
        <v>129</v>
      </c>
      <c r="C130" s="8"/>
      <c r="D130" s="20"/>
      <c r="F130" s="20"/>
      <c r="G130" t="str">
        <f>VLOOKUP(RobotGameScores3[[#This Row],[Blue Team Number]],'Game Scores'!$B:$I,2+COUNTIF($C$2:E130,C130),FALSE)</f>
        <v/>
      </c>
      <c r="H130" t="str">
        <f>VLOOKUP(RobotGameScores3[[#This Row],[Red Team Number]],'Game Scores'!$B:$I,2+COUNTIF($C$2:E130,E130),FALSE)</f>
        <v/>
      </c>
      <c r="I130" s="50" t="str">
        <f>IF(SUM(RobotGameScores3[[#This Row],[Blue Team Score]:[Red Team Score]])=0,"",SUM(RobotGameScores3[[#This Row],[Blue Team Score]:[Red Team Score]]))</f>
        <v/>
      </c>
      <c r="J130" s="50" t="str">
        <f>IF(RobotGameScores3[[#This Row],[Blue Team Number]]="","",_xlfn.RANK.EQ(RobotGameScores3[[#This Row],[Highest Combined Score]],CombinedMatchScore))</f>
        <v/>
      </c>
    </row>
    <row r="131" spans="1:10" ht="21" customHeight="1" x14ac:dyDescent="0.25">
      <c r="A131">
        <v>130</v>
      </c>
      <c r="C131" s="8"/>
      <c r="D131" s="20"/>
      <c r="F131" s="20"/>
      <c r="G131" t="str">
        <f>VLOOKUP(RobotGameScores3[[#This Row],[Blue Team Number]],'Game Scores'!$B:$I,2+COUNTIF($C$2:E131,C131),FALSE)</f>
        <v/>
      </c>
      <c r="H131" t="str">
        <f>VLOOKUP(RobotGameScores3[[#This Row],[Red Team Number]],'Game Scores'!$B:$I,2+COUNTIF($C$2:E131,E131),FALSE)</f>
        <v/>
      </c>
      <c r="I131" s="50" t="str">
        <f>IF(SUM(RobotGameScores3[[#This Row],[Blue Team Score]:[Red Team Score]])=0,"",SUM(RobotGameScores3[[#This Row],[Blue Team Score]:[Red Team Score]]))</f>
        <v/>
      </c>
      <c r="J131" s="50" t="str">
        <f>IF(RobotGameScores3[[#This Row],[Blue Team Number]]="","",_xlfn.RANK.EQ(RobotGameScores3[[#This Row],[Highest Combined Score]],CombinedMatchScore))</f>
        <v/>
      </c>
    </row>
    <row r="132" spans="1:10" ht="21" customHeight="1" x14ac:dyDescent="0.25">
      <c r="A132">
        <v>131</v>
      </c>
      <c r="C132" s="8"/>
      <c r="D132" s="20"/>
      <c r="F132" s="20"/>
      <c r="G132" t="str">
        <f>VLOOKUP(RobotGameScores3[[#This Row],[Blue Team Number]],'Game Scores'!$B:$I,2+COUNTIF($C$2:E132,C132),FALSE)</f>
        <v/>
      </c>
      <c r="H132" t="str">
        <f>VLOOKUP(RobotGameScores3[[#This Row],[Red Team Number]],'Game Scores'!$B:$I,2+COUNTIF($C$2:E132,E132),FALSE)</f>
        <v/>
      </c>
      <c r="I132" s="50" t="str">
        <f>IF(SUM(RobotGameScores3[[#This Row],[Blue Team Score]:[Red Team Score]])=0,"",SUM(RobotGameScores3[[#This Row],[Blue Team Score]:[Red Team Score]]))</f>
        <v/>
      </c>
      <c r="J132" s="50" t="str">
        <f>IF(RobotGameScores3[[#This Row],[Blue Team Number]]="","",_xlfn.RANK.EQ(RobotGameScores3[[#This Row],[Highest Combined Score]],CombinedMatchScore))</f>
        <v/>
      </c>
    </row>
    <row r="133" spans="1:10" ht="21" customHeight="1" x14ac:dyDescent="0.25">
      <c r="A133">
        <v>132</v>
      </c>
      <c r="C133" s="8"/>
      <c r="D133" s="20"/>
      <c r="F133" s="20"/>
      <c r="G133" t="str">
        <f>VLOOKUP(RobotGameScores3[[#This Row],[Blue Team Number]],'Game Scores'!$B:$I,2+COUNTIF($C$2:E133,C133),FALSE)</f>
        <v/>
      </c>
      <c r="H133" t="str">
        <f>VLOOKUP(RobotGameScores3[[#This Row],[Red Team Number]],'Game Scores'!$B:$I,2+COUNTIF($C$2:E133,E133),FALSE)</f>
        <v/>
      </c>
      <c r="I133" s="50" t="str">
        <f>IF(SUM(RobotGameScores3[[#This Row],[Blue Team Score]:[Red Team Score]])=0,"",SUM(RobotGameScores3[[#This Row],[Blue Team Score]:[Red Team Score]]))</f>
        <v/>
      </c>
      <c r="J133" s="50" t="str">
        <f>IF(RobotGameScores3[[#This Row],[Blue Team Number]]="","",_xlfn.RANK.EQ(RobotGameScores3[[#This Row],[Highest Combined Score]],CombinedMatchScore))</f>
        <v/>
      </c>
    </row>
    <row r="134" spans="1:10" ht="21" customHeight="1" x14ac:dyDescent="0.25">
      <c r="A134">
        <v>133</v>
      </c>
      <c r="C134" s="8"/>
      <c r="D134" s="20"/>
      <c r="F134" s="20"/>
      <c r="G134" t="str">
        <f>VLOOKUP(RobotGameScores3[[#This Row],[Blue Team Number]],'Game Scores'!$B:$I,2+COUNTIF($C$2:E134,C134),FALSE)</f>
        <v/>
      </c>
      <c r="H134" t="str">
        <f>VLOOKUP(RobotGameScores3[[#This Row],[Red Team Number]],'Game Scores'!$B:$I,2+COUNTIF($C$2:E134,E134),FALSE)</f>
        <v/>
      </c>
      <c r="I134" s="50" t="str">
        <f>IF(SUM(RobotGameScores3[[#This Row],[Blue Team Score]:[Red Team Score]])=0,"",SUM(RobotGameScores3[[#This Row],[Blue Team Score]:[Red Team Score]]))</f>
        <v/>
      </c>
      <c r="J134" s="50" t="str">
        <f>IF(RobotGameScores3[[#This Row],[Blue Team Number]]="","",_xlfn.RANK.EQ(RobotGameScores3[[#This Row],[Highest Combined Score]],CombinedMatchScore))</f>
        <v/>
      </c>
    </row>
    <row r="135" spans="1:10" ht="21" customHeight="1" x14ac:dyDescent="0.25">
      <c r="A135">
        <v>134</v>
      </c>
      <c r="C135" s="8"/>
      <c r="D135" s="20"/>
      <c r="F135" s="20"/>
      <c r="G135" t="str">
        <f>VLOOKUP(RobotGameScores3[[#This Row],[Blue Team Number]],'Game Scores'!$B:$I,2+COUNTIF($C$2:E135,C135),FALSE)</f>
        <v/>
      </c>
      <c r="H135" t="str">
        <f>VLOOKUP(RobotGameScores3[[#This Row],[Red Team Number]],'Game Scores'!$B:$I,2+COUNTIF($C$2:E135,E135),FALSE)</f>
        <v/>
      </c>
      <c r="I135" s="50" t="str">
        <f>IF(SUM(RobotGameScores3[[#This Row],[Blue Team Score]:[Red Team Score]])=0,"",SUM(RobotGameScores3[[#This Row],[Blue Team Score]:[Red Team Score]]))</f>
        <v/>
      </c>
      <c r="J135" s="50" t="str">
        <f>IF(RobotGameScores3[[#This Row],[Blue Team Number]]="","",_xlfn.RANK.EQ(RobotGameScores3[[#This Row],[Highest Combined Score]],CombinedMatchScore))</f>
        <v/>
      </c>
    </row>
    <row r="136" spans="1:10" ht="21" customHeight="1" x14ac:dyDescent="0.25">
      <c r="A136">
        <v>135</v>
      </c>
      <c r="C136" s="8"/>
      <c r="D136" s="20"/>
      <c r="F136" s="20"/>
      <c r="G136" t="str">
        <f>VLOOKUP(RobotGameScores3[[#This Row],[Blue Team Number]],'Game Scores'!$B:$I,2+COUNTIF($C$2:E136,C136),FALSE)</f>
        <v/>
      </c>
      <c r="H136" t="str">
        <f>VLOOKUP(RobotGameScores3[[#This Row],[Red Team Number]],'Game Scores'!$B:$I,2+COUNTIF($C$2:E136,E136),FALSE)</f>
        <v/>
      </c>
      <c r="I136" s="50" t="str">
        <f>IF(SUM(RobotGameScores3[[#This Row],[Blue Team Score]:[Red Team Score]])=0,"",SUM(RobotGameScores3[[#This Row],[Blue Team Score]:[Red Team Score]]))</f>
        <v/>
      </c>
      <c r="J136" s="50" t="str">
        <f>IF(RobotGameScores3[[#This Row],[Blue Team Number]]="","",_xlfn.RANK.EQ(RobotGameScores3[[#This Row],[Highest Combined Score]],CombinedMatchScore))</f>
        <v/>
      </c>
    </row>
    <row r="137" spans="1:10" ht="21" customHeight="1" x14ac:dyDescent="0.25">
      <c r="A137">
        <v>136</v>
      </c>
      <c r="C137" s="8"/>
      <c r="D137" s="20"/>
      <c r="F137" s="20"/>
      <c r="G137" t="str">
        <f>VLOOKUP(RobotGameScores3[[#This Row],[Blue Team Number]],'Game Scores'!$B:$I,2+COUNTIF($C$2:E137,C137),FALSE)</f>
        <v/>
      </c>
      <c r="H137" t="str">
        <f>VLOOKUP(RobotGameScores3[[#This Row],[Red Team Number]],'Game Scores'!$B:$I,2+COUNTIF($C$2:E137,E137),FALSE)</f>
        <v/>
      </c>
      <c r="I137" s="50" t="str">
        <f>IF(SUM(RobotGameScores3[[#This Row],[Blue Team Score]:[Red Team Score]])=0,"",SUM(RobotGameScores3[[#This Row],[Blue Team Score]:[Red Team Score]]))</f>
        <v/>
      </c>
      <c r="J137" s="50" t="str">
        <f>IF(RobotGameScores3[[#This Row],[Blue Team Number]]="","",_xlfn.RANK.EQ(RobotGameScores3[[#This Row],[Highest Combined Score]],CombinedMatchScore))</f>
        <v/>
      </c>
    </row>
    <row r="138" spans="1:10" ht="21" customHeight="1" x14ac:dyDescent="0.25">
      <c r="A138">
        <v>137</v>
      </c>
      <c r="C138" s="8"/>
      <c r="D138" s="20"/>
      <c r="F138" s="20"/>
      <c r="G138" t="str">
        <f>VLOOKUP(RobotGameScores3[[#This Row],[Blue Team Number]],'Game Scores'!$B:$I,2+COUNTIF($C$2:E138,C138),FALSE)</f>
        <v/>
      </c>
      <c r="H138" t="str">
        <f>VLOOKUP(RobotGameScores3[[#This Row],[Red Team Number]],'Game Scores'!$B:$I,2+COUNTIF($C$2:E138,E138),FALSE)</f>
        <v/>
      </c>
      <c r="I138" s="50" t="str">
        <f>IF(SUM(RobotGameScores3[[#This Row],[Blue Team Score]:[Red Team Score]])=0,"",SUM(RobotGameScores3[[#This Row],[Blue Team Score]:[Red Team Score]]))</f>
        <v/>
      </c>
      <c r="J138" s="50" t="str">
        <f>IF(RobotGameScores3[[#This Row],[Blue Team Number]]="","",_xlfn.RANK.EQ(RobotGameScores3[[#This Row],[Highest Combined Score]],CombinedMatchScore))</f>
        <v/>
      </c>
    </row>
    <row r="139" spans="1:10" ht="21" customHeight="1" x14ac:dyDescent="0.25">
      <c r="A139">
        <v>138</v>
      </c>
      <c r="C139" s="8"/>
      <c r="D139" s="20"/>
      <c r="F139" s="20"/>
      <c r="G139" t="str">
        <f>VLOOKUP(RobotGameScores3[[#This Row],[Blue Team Number]],'Game Scores'!$B:$I,2+COUNTIF($C$2:E139,C139),FALSE)</f>
        <v/>
      </c>
      <c r="H139" t="str">
        <f>VLOOKUP(RobotGameScores3[[#This Row],[Red Team Number]],'Game Scores'!$B:$I,2+COUNTIF($C$2:E139,E139),FALSE)</f>
        <v/>
      </c>
      <c r="I139" s="50" t="str">
        <f>IF(SUM(RobotGameScores3[[#This Row],[Blue Team Score]:[Red Team Score]])=0,"",SUM(RobotGameScores3[[#This Row],[Blue Team Score]:[Red Team Score]]))</f>
        <v/>
      </c>
      <c r="J139" s="50" t="str">
        <f>IF(RobotGameScores3[[#This Row],[Blue Team Number]]="","",_xlfn.RANK.EQ(RobotGameScores3[[#This Row],[Highest Combined Score]],CombinedMatchScore))</f>
        <v/>
      </c>
    </row>
    <row r="140" spans="1:10" ht="21" customHeight="1" x14ac:dyDescent="0.25">
      <c r="A140">
        <v>139</v>
      </c>
      <c r="C140" s="8"/>
      <c r="D140" s="20"/>
      <c r="F140" s="20"/>
      <c r="G140" t="str">
        <f>VLOOKUP(RobotGameScores3[[#This Row],[Blue Team Number]],'Game Scores'!$B:$I,2+COUNTIF($C$2:E140,C140),FALSE)</f>
        <v/>
      </c>
      <c r="H140" t="str">
        <f>VLOOKUP(RobotGameScores3[[#This Row],[Red Team Number]],'Game Scores'!$B:$I,2+COUNTIF($C$2:E140,E140),FALSE)</f>
        <v/>
      </c>
      <c r="I140" s="50" t="str">
        <f>IF(SUM(RobotGameScores3[[#This Row],[Blue Team Score]:[Red Team Score]])=0,"",SUM(RobotGameScores3[[#This Row],[Blue Team Score]:[Red Team Score]]))</f>
        <v/>
      </c>
      <c r="J140" s="50" t="str">
        <f>IF(RobotGameScores3[[#This Row],[Blue Team Number]]="","",_xlfn.RANK.EQ(RobotGameScores3[[#This Row],[Highest Combined Score]],CombinedMatchScore))</f>
        <v/>
      </c>
    </row>
    <row r="141" spans="1:10" ht="21" customHeight="1" x14ac:dyDescent="0.25">
      <c r="A141">
        <v>140</v>
      </c>
      <c r="C141" s="8"/>
      <c r="D141" s="20"/>
      <c r="F141" s="20"/>
      <c r="G141" t="str">
        <f>VLOOKUP(RobotGameScores3[[#This Row],[Blue Team Number]],'Game Scores'!$B:$I,2+COUNTIF($C$2:E141,C141),FALSE)</f>
        <v/>
      </c>
      <c r="H141" t="str">
        <f>VLOOKUP(RobotGameScores3[[#This Row],[Red Team Number]],'Game Scores'!$B:$I,2+COUNTIF($C$2:E141,E141),FALSE)</f>
        <v/>
      </c>
      <c r="I141" s="50" t="str">
        <f>IF(SUM(RobotGameScores3[[#This Row],[Blue Team Score]:[Red Team Score]])=0,"",SUM(RobotGameScores3[[#This Row],[Blue Team Score]:[Red Team Score]]))</f>
        <v/>
      </c>
      <c r="J141" s="50" t="str">
        <f>IF(RobotGameScores3[[#This Row],[Blue Team Number]]="","",_xlfn.RANK.EQ(RobotGameScores3[[#This Row],[Highest Combined Score]],CombinedMatchScore))</f>
        <v/>
      </c>
    </row>
    <row r="142" spans="1:10" ht="21" customHeight="1" x14ac:dyDescent="0.25">
      <c r="A142">
        <v>141</v>
      </c>
      <c r="C142" s="8"/>
      <c r="D142" s="20"/>
      <c r="F142" s="20"/>
      <c r="G142" t="str">
        <f>VLOOKUP(RobotGameScores3[[#This Row],[Blue Team Number]],'Game Scores'!$B:$I,2+COUNTIF($C$2:E142,C142),FALSE)</f>
        <v/>
      </c>
      <c r="H142" t="str">
        <f>VLOOKUP(RobotGameScores3[[#This Row],[Red Team Number]],'Game Scores'!$B:$I,2+COUNTIF($C$2:E142,E142),FALSE)</f>
        <v/>
      </c>
      <c r="I142" s="50" t="str">
        <f>IF(SUM(RobotGameScores3[[#This Row],[Blue Team Score]:[Red Team Score]])=0,"",SUM(RobotGameScores3[[#This Row],[Blue Team Score]:[Red Team Score]]))</f>
        <v/>
      </c>
      <c r="J142" s="50" t="str">
        <f>IF(RobotGameScores3[[#This Row],[Blue Team Number]]="","",_xlfn.RANK.EQ(RobotGameScores3[[#This Row],[Highest Combined Score]],CombinedMatchScore))</f>
        <v/>
      </c>
    </row>
    <row r="143" spans="1:10" ht="21" customHeight="1" x14ac:dyDescent="0.25">
      <c r="A143">
        <v>142</v>
      </c>
      <c r="C143" s="8"/>
      <c r="D143" s="20"/>
      <c r="F143" s="20"/>
      <c r="G143" t="str">
        <f>VLOOKUP(RobotGameScores3[[#This Row],[Blue Team Number]],'Game Scores'!$B:$I,2+COUNTIF($C$2:E143,C143),FALSE)</f>
        <v/>
      </c>
      <c r="H143" t="str">
        <f>VLOOKUP(RobotGameScores3[[#This Row],[Red Team Number]],'Game Scores'!$B:$I,2+COUNTIF($C$2:E143,E143),FALSE)</f>
        <v/>
      </c>
      <c r="I143" s="50" t="str">
        <f>IF(SUM(RobotGameScores3[[#This Row],[Blue Team Score]:[Red Team Score]])=0,"",SUM(RobotGameScores3[[#This Row],[Blue Team Score]:[Red Team Score]]))</f>
        <v/>
      </c>
      <c r="J143" s="50" t="str">
        <f>IF(RobotGameScores3[[#This Row],[Blue Team Number]]="","",_xlfn.RANK.EQ(RobotGameScores3[[#This Row],[Highest Combined Score]],CombinedMatchScore))</f>
        <v/>
      </c>
    </row>
    <row r="144" spans="1:10" ht="21" customHeight="1" x14ac:dyDescent="0.25">
      <c r="A144">
        <v>143</v>
      </c>
      <c r="C144" s="8"/>
      <c r="D144" s="20"/>
      <c r="F144" s="20"/>
      <c r="G144" t="str">
        <f>VLOOKUP(RobotGameScores3[[#This Row],[Blue Team Number]],'Game Scores'!$B:$I,2+COUNTIF($C$2:E144,C144),FALSE)</f>
        <v/>
      </c>
      <c r="H144" t="str">
        <f>VLOOKUP(RobotGameScores3[[#This Row],[Red Team Number]],'Game Scores'!$B:$I,2+COUNTIF($C$2:E144,E144),FALSE)</f>
        <v/>
      </c>
      <c r="I144" s="50" t="str">
        <f>IF(SUM(RobotGameScores3[[#This Row],[Blue Team Score]:[Red Team Score]])=0,"",SUM(RobotGameScores3[[#This Row],[Blue Team Score]:[Red Team Score]]))</f>
        <v/>
      </c>
      <c r="J144" s="50" t="str">
        <f>IF(RobotGameScores3[[#This Row],[Blue Team Number]]="","",_xlfn.RANK.EQ(RobotGameScores3[[#This Row],[Highest Combined Score]],CombinedMatchScore))</f>
        <v/>
      </c>
    </row>
    <row r="145" spans="1:10" ht="21" customHeight="1" x14ac:dyDescent="0.25">
      <c r="A145">
        <v>144</v>
      </c>
      <c r="C145" s="8"/>
      <c r="D145" s="20"/>
      <c r="F145" s="20"/>
      <c r="G145" t="str">
        <f>VLOOKUP(RobotGameScores3[[#This Row],[Blue Team Number]],'Game Scores'!$B:$I,2+COUNTIF($C$2:E145,C145),FALSE)</f>
        <v/>
      </c>
      <c r="H145" t="str">
        <f>VLOOKUP(RobotGameScores3[[#This Row],[Red Team Number]],'Game Scores'!$B:$I,2+COUNTIF($C$2:E145,E145),FALSE)</f>
        <v/>
      </c>
      <c r="I145" s="50" t="str">
        <f>IF(SUM(RobotGameScores3[[#This Row],[Blue Team Score]:[Red Team Score]])=0,"",SUM(RobotGameScores3[[#This Row],[Blue Team Score]:[Red Team Score]]))</f>
        <v/>
      </c>
      <c r="J145" s="50" t="str">
        <f>IF(RobotGameScores3[[#This Row],[Blue Team Number]]="","",_xlfn.RANK.EQ(RobotGameScores3[[#This Row],[Highest Combined Score]],CombinedMatchScore))</f>
        <v/>
      </c>
    </row>
    <row r="146" spans="1:10" ht="21" customHeight="1" x14ac:dyDescent="0.25">
      <c r="A146">
        <v>145</v>
      </c>
      <c r="C146" s="8"/>
      <c r="D146" s="20"/>
      <c r="F146" s="20"/>
      <c r="G146" t="str">
        <f>VLOOKUP(RobotGameScores3[[#This Row],[Blue Team Number]],'Game Scores'!$B:$I,2+COUNTIF($C$2:E146,C146),FALSE)</f>
        <v/>
      </c>
      <c r="H146" t="str">
        <f>VLOOKUP(RobotGameScores3[[#This Row],[Red Team Number]],'Game Scores'!$B:$I,2+COUNTIF($C$2:E146,E146),FALSE)</f>
        <v/>
      </c>
      <c r="I146" s="50" t="str">
        <f>IF(SUM(RobotGameScores3[[#This Row],[Blue Team Score]:[Red Team Score]])=0,"",SUM(RobotGameScores3[[#This Row],[Blue Team Score]:[Red Team Score]]))</f>
        <v/>
      </c>
      <c r="J146" s="50" t="str">
        <f>IF(RobotGameScores3[[#This Row],[Blue Team Number]]="","",_xlfn.RANK.EQ(RobotGameScores3[[#This Row],[Highest Combined Score]],CombinedMatchScore))</f>
        <v/>
      </c>
    </row>
    <row r="147" spans="1:10" ht="21" customHeight="1" x14ac:dyDescent="0.25">
      <c r="A147">
        <v>146</v>
      </c>
      <c r="C147" s="8"/>
      <c r="D147" s="20"/>
      <c r="F147" s="20"/>
      <c r="G147" t="str">
        <f>VLOOKUP(RobotGameScores3[[#This Row],[Blue Team Number]],'Game Scores'!$B:$I,2+COUNTIF($C$2:E147,C147),FALSE)</f>
        <v/>
      </c>
      <c r="H147" t="str">
        <f>VLOOKUP(RobotGameScores3[[#This Row],[Red Team Number]],'Game Scores'!$B:$I,2+COUNTIF($C$2:E147,E147),FALSE)</f>
        <v/>
      </c>
      <c r="I147" s="50" t="str">
        <f>IF(SUM(RobotGameScores3[[#This Row],[Blue Team Score]:[Red Team Score]])=0,"",SUM(RobotGameScores3[[#This Row],[Blue Team Score]:[Red Team Score]]))</f>
        <v/>
      </c>
      <c r="J147" s="50" t="str">
        <f>IF(RobotGameScores3[[#This Row],[Blue Team Number]]="","",_xlfn.RANK.EQ(RobotGameScores3[[#This Row],[Highest Combined Score]],CombinedMatchScore))</f>
        <v/>
      </c>
    </row>
    <row r="148" spans="1:10" ht="21" customHeight="1" x14ac:dyDescent="0.25">
      <c r="A148">
        <v>147</v>
      </c>
      <c r="C148" s="8"/>
      <c r="D148" s="20"/>
      <c r="F148" s="20"/>
      <c r="G148" t="str">
        <f>VLOOKUP(RobotGameScores3[[#This Row],[Blue Team Number]],'Game Scores'!$B:$I,2+COUNTIF($C$2:E148,C148),FALSE)</f>
        <v/>
      </c>
      <c r="H148" t="str">
        <f>VLOOKUP(RobotGameScores3[[#This Row],[Red Team Number]],'Game Scores'!$B:$I,2+COUNTIF($C$2:E148,E148),FALSE)</f>
        <v/>
      </c>
      <c r="I148" s="50" t="str">
        <f>IF(SUM(RobotGameScores3[[#This Row],[Blue Team Score]:[Red Team Score]])=0,"",SUM(RobotGameScores3[[#This Row],[Blue Team Score]:[Red Team Score]]))</f>
        <v/>
      </c>
      <c r="J148" s="50" t="str">
        <f>IF(RobotGameScores3[[#This Row],[Blue Team Number]]="","",_xlfn.RANK.EQ(RobotGameScores3[[#This Row],[Highest Combined Score]],CombinedMatchScore))</f>
        <v/>
      </c>
    </row>
    <row r="149" spans="1:10" ht="21" customHeight="1" x14ac:dyDescent="0.25">
      <c r="A149">
        <v>148</v>
      </c>
      <c r="C149" s="8"/>
      <c r="D149" s="20"/>
      <c r="F149" s="20"/>
      <c r="G149" t="str">
        <f>VLOOKUP(RobotGameScores3[[#This Row],[Blue Team Number]],'Game Scores'!$B:$I,2+COUNTIF($C$2:E149,C149),FALSE)</f>
        <v/>
      </c>
      <c r="H149" t="str">
        <f>VLOOKUP(RobotGameScores3[[#This Row],[Red Team Number]],'Game Scores'!$B:$I,2+COUNTIF($C$2:E149,E149),FALSE)</f>
        <v/>
      </c>
      <c r="I149" s="50" t="str">
        <f>IF(SUM(RobotGameScores3[[#This Row],[Blue Team Score]:[Red Team Score]])=0,"",SUM(RobotGameScores3[[#This Row],[Blue Team Score]:[Red Team Score]]))</f>
        <v/>
      </c>
      <c r="J149" s="50" t="str">
        <f>IF(RobotGameScores3[[#This Row],[Blue Team Number]]="","",_xlfn.RANK.EQ(RobotGameScores3[[#This Row],[Highest Combined Score]],CombinedMatchScore))</f>
        <v/>
      </c>
    </row>
    <row r="150" spans="1:10" ht="21" customHeight="1" x14ac:dyDescent="0.25">
      <c r="A150">
        <v>149</v>
      </c>
      <c r="C150" s="8"/>
      <c r="D150" s="20"/>
      <c r="F150" s="20"/>
      <c r="G150" t="str">
        <f>VLOOKUP(RobotGameScores3[[#This Row],[Blue Team Number]],'Game Scores'!$B:$I,2+COUNTIF($C$2:E150,C150),FALSE)</f>
        <v/>
      </c>
      <c r="H150" t="str">
        <f>VLOOKUP(RobotGameScores3[[#This Row],[Red Team Number]],'Game Scores'!$B:$I,2+COUNTIF($C$2:E150,E150),FALSE)</f>
        <v/>
      </c>
      <c r="I150" s="50" t="str">
        <f>IF(SUM(RobotGameScores3[[#This Row],[Blue Team Score]:[Red Team Score]])=0,"",SUM(RobotGameScores3[[#This Row],[Blue Team Score]:[Red Team Score]]))</f>
        <v/>
      </c>
      <c r="J150" s="50" t="str">
        <f>IF(RobotGameScores3[[#This Row],[Blue Team Number]]="","",_xlfn.RANK.EQ(RobotGameScores3[[#This Row],[Highest Combined Score]],CombinedMatchScore))</f>
        <v/>
      </c>
    </row>
    <row r="151" spans="1:10" ht="21" customHeight="1" x14ac:dyDescent="0.25">
      <c r="A151">
        <v>150</v>
      </c>
      <c r="C151" s="8"/>
      <c r="D151" s="20"/>
      <c r="F151" s="20"/>
      <c r="G151" t="str">
        <f>VLOOKUP(RobotGameScores3[[#This Row],[Blue Team Number]],'Game Scores'!$B:$I,2+COUNTIF($C$2:E151,C151),FALSE)</f>
        <v/>
      </c>
      <c r="H151" t="str">
        <f>VLOOKUP(RobotGameScores3[[#This Row],[Red Team Number]],'Game Scores'!$B:$I,2+COUNTIF($C$2:E151,E151),FALSE)</f>
        <v/>
      </c>
      <c r="I151" s="50" t="str">
        <f>IF(SUM(RobotGameScores3[[#This Row],[Blue Team Score]:[Red Team Score]])=0,"",SUM(RobotGameScores3[[#This Row],[Blue Team Score]:[Red Team Score]]))</f>
        <v/>
      </c>
      <c r="J151" s="50" t="str">
        <f>IF(RobotGameScores3[[#This Row],[Blue Team Number]]="","",_xlfn.RANK.EQ(RobotGameScores3[[#This Row],[Highest Combined Score]],CombinedMatchScore))</f>
        <v/>
      </c>
    </row>
    <row r="152" spans="1:10" ht="21" customHeight="1" x14ac:dyDescent="0.25">
      <c r="A152">
        <v>151</v>
      </c>
      <c r="C152" s="8"/>
      <c r="D152" s="20"/>
      <c r="F152" s="20"/>
      <c r="G152" t="str">
        <f>VLOOKUP(RobotGameScores3[[#This Row],[Blue Team Number]],'Game Scores'!$B:$I,2+COUNTIF($C$2:E152,C152),FALSE)</f>
        <v/>
      </c>
      <c r="H152" t="str">
        <f>VLOOKUP(RobotGameScores3[[#This Row],[Red Team Number]],'Game Scores'!$B:$I,2+COUNTIF($C$2:E152,E152),FALSE)</f>
        <v/>
      </c>
      <c r="I152" s="50" t="str">
        <f>IF(SUM(RobotGameScores3[[#This Row],[Blue Team Score]:[Red Team Score]])=0,"",SUM(RobotGameScores3[[#This Row],[Blue Team Score]:[Red Team Score]]))</f>
        <v/>
      </c>
      <c r="J152" s="50" t="str">
        <f>IF(RobotGameScores3[[#This Row],[Blue Team Number]]="","",_xlfn.RANK.EQ(RobotGameScores3[[#This Row],[Highest Combined Score]],CombinedMatchScore))</f>
        <v/>
      </c>
    </row>
    <row r="153" spans="1:10" ht="21" customHeight="1" x14ac:dyDescent="0.25">
      <c r="A153">
        <v>152</v>
      </c>
      <c r="C153" s="8"/>
      <c r="D153" s="20"/>
      <c r="F153" s="20"/>
      <c r="G153" t="str">
        <f>VLOOKUP(RobotGameScores3[[#This Row],[Blue Team Number]],'Game Scores'!$B:$I,2+COUNTIF($C$2:E153,C153),FALSE)</f>
        <v/>
      </c>
      <c r="H153" t="str">
        <f>VLOOKUP(RobotGameScores3[[#This Row],[Red Team Number]],'Game Scores'!$B:$I,2+COUNTIF($C$2:E153,E153),FALSE)</f>
        <v/>
      </c>
      <c r="I153" s="50" t="str">
        <f>IF(SUM(RobotGameScores3[[#This Row],[Blue Team Score]:[Red Team Score]])=0,"",SUM(RobotGameScores3[[#This Row],[Blue Team Score]:[Red Team Score]]))</f>
        <v/>
      </c>
      <c r="J153" s="50" t="str">
        <f>IF(RobotGameScores3[[#This Row],[Blue Team Number]]="","",_xlfn.RANK.EQ(RobotGameScores3[[#This Row],[Highest Combined Score]],CombinedMatchScore))</f>
        <v/>
      </c>
    </row>
    <row r="154" spans="1:10" ht="21" customHeight="1" x14ac:dyDescent="0.25">
      <c r="A154">
        <v>153</v>
      </c>
      <c r="C154" s="8"/>
      <c r="D154" s="20"/>
      <c r="F154" s="20"/>
      <c r="G154" t="str">
        <f>VLOOKUP(RobotGameScores3[[#This Row],[Blue Team Number]],'Game Scores'!$B:$I,2+COUNTIF($C$2:E154,C154),FALSE)</f>
        <v/>
      </c>
      <c r="H154" t="str">
        <f>VLOOKUP(RobotGameScores3[[#This Row],[Red Team Number]],'Game Scores'!$B:$I,2+COUNTIF($C$2:E154,E154),FALSE)</f>
        <v/>
      </c>
      <c r="I154" s="50" t="str">
        <f>IF(SUM(RobotGameScores3[[#This Row],[Blue Team Score]:[Red Team Score]])=0,"",SUM(RobotGameScores3[[#This Row],[Blue Team Score]:[Red Team Score]]))</f>
        <v/>
      </c>
      <c r="J154" s="50" t="str">
        <f>IF(RobotGameScores3[[#This Row],[Blue Team Number]]="","",_xlfn.RANK.EQ(RobotGameScores3[[#This Row],[Highest Combined Score]],CombinedMatchScore))</f>
        <v/>
      </c>
    </row>
    <row r="155" spans="1:10" ht="21" customHeight="1" x14ac:dyDescent="0.25">
      <c r="A155">
        <v>154</v>
      </c>
      <c r="C155" s="8"/>
      <c r="D155" s="20"/>
      <c r="F155" s="20"/>
      <c r="G155" t="str">
        <f>VLOOKUP(RobotGameScores3[[#This Row],[Blue Team Number]],'Game Scores'!$B:$I,2+COUNTIF($C$2:E155,C155),FALSE)</f>
        <v/>
      </c>
      <c r="H155" t="str">
        <f>VLOOKUP(RobotGameScores3[[#This Row],[Red Team Number]],'Game Scores'!$B:$I,2+COUNTIF($C$2:E155,E155),FALSE)</f>
        <v/>
      </c>
      <c r="I155" s="50" t="str">
        <f>IF(SUM(RobotGameScores3[[#This Row],[Blue Team Score]:[Red Team Score]])=0,"",SUM(RobotGameScores3[[#This Row],[Blue Team Score]:[Red Team Score]]))</f>
        <v/>
      </c>
      <c r="J155" s="50" t="str">
        <f>IF(RobotGameScores3[[#This Row],[Blue Team Number]]="","",_xlfn.RANK.EQ(RobotGameScores3[[#This Row],[Highest Combined Score]],CombinedMatchScore))</f>
        <v/>
      </c>
    </row>
    <row r="156" spans="1:10" ht="21" customHeight="1" x14ac:dyDescent="0.25">
      <c r="A156">
        <v>155</v>
      </c>
      <c r="C156" s="8"/>
      <c r="D156" s="20"/>
      <c r="F156" s="20"/>
      <c r="G156" t="str">
        <f>VLOOKUP(RobotGameScores3[[#This Row],[Blue Team Number]],'Game Scores'!$B:$I,2+COUNTIF($C$2:E156,C156),FALSE)</f>
        <v/>
      </c>
      <c r="H156" t="str">
        <f>VLOOKUP(RobotGameScores3[[#This Row],[Red Team Number]],'Game Scores'!$B:$I,2+COUNTIF($C$2:E156,E156),FALSE)</f>
        <v/>
      </c>
      <c r="I156" s="50" t="str">
        <f>IF(SUM(RobotGameScores3[[#This Row],[Blue Team Score]:[Red Team Score]])=0,"",SUM(RobotGameScores3[[#This Row],[Blue Team Score]:[Red Team Score]]))</f>
        <v/>
      </c>
      <c r="J156" s="50" t="str">
        <f>IF(RobotGameScores3[[#This Row],[Blue Team Number]]="","",_xlfn.RANK.EQ(RobotGameScores3[[#This Row],[Highest Combined Score]],CombinedMatchScore))</f>
        <v/>
      </c>
    </row>
    <row r="157" spans="1:10" ht="21" customHeight="1" x14ac:dyDescent="0.25">
      <c r="A157">
        <v>156</v>
      </c>
      <c r="C157" s="8"/>
      <c r="D157" s="20"/>
      <c r="F157" s="20"/>
      <c r="G157" t="str">
        <f>VLOOKUP(RobotGameScores3[[#This Row],[Blue Team Number]],'Game Scores'!$B:$I,2+COUNTIF($C$2:E157,C157),FALSE)</f>
        <v/>
      </c>
      <c r="H157" t="str">
        <f>VLOOKUP(RobotGameScores3[[#This Row],[Red Team Number]],'Game Scores'!$B:$I,2+COUNTIF($C$2:E157,E157),FALSE)</f>
        <v/>
      </c>
      <c r="I157" s="50" t="str">
        <f>IF(SUM(RobotGameScores3[[#This Row],[Blue Team Score]:[Red Team Score]])=0,"",SUM(RobotGameScores3[[#This Row],[Blue Team Score]:[Red Team Score]]))</f>
        <v/>
      </c>
      <c r="J157" s="50" t="str">
        <f>IF(RobotGameScores3[[#This Row],[Blue Team Number]]="","",_xlfn.RANK.EQ(RobotGameScores3[[#This Row],[Highest Combined Score]],CombinedMatchScore))</f>
        <v/>
      </c>
    </row>
    <row r="158" spans="1:10" ht="21" customHeight="1" x14ac:dyDescent="0.25">
      <c r="A158">
        <v>157</v>
      </c>
      <c r="C158" s="8"/>
      <c r="D158" s="20"/>
      <c r="F158" s="20"/>
      <c r="G158" t="str">
        <f>VLOOKUP(RobotGameScores3[[#This Row],[Blue Team Number]],'Game Scores'!$B:$I,2+COUNTIF($C$2:E158,C158),FALSE)</f>
        <v/>
      </c>
      <c r="H158" t="str">
        <f>VLOOKUP(RobotGameScores3[[#This Row],[Red Team Number]],'Game Scores'!$B:$I,2+COUNTIF($C$2:E158,E158),FALSE)</f>
        <v/>
      </c>
      <c r="I158" s="50" t="str">
        <f>IF(SUM(RobotGameScores3[[#This Row],[Blue Team Score]:[Red Team Score]])=0,"",SUM(RobotGameScores3[[#This Row],[Blue Team Score]:[Red Team Score]]))</f>
        <v/>
      </c>
      <c r="J158" s="50" t="str">
        <f>IF(RobotGameScores3[[#This Row],[Blue Team Number]]="","",_xlfn.RANK.EQ(RobotGameScores3[[#This Row],[Highest Combined Score]],CombinedMatchScore))</f>
        <v/>
      </c>
    </row>
    <row r="159" spans="1:10" ht="21" customHeight="1" x14ac:dyDescent="0.25">
      <c r="A159">
        <v>158</v>
      </c>
      <c r="C159" s="8"/>
      <c r="D159" s="20"/>
      <c r="F159" s="20"/>
      <c r="G159" t="str">
        <f>VLOOKUP(RobotGameScores3[[#This Row],[Blue Team Number]],'Game Scores'!$B:$I,2+COUNTIF($C$2:E159,C159),FALSE)</f>
        <v/>
      </c>
      <c r="H159" t="str">
        <f>VLOOKUP(RobotGameScores3[[#This Row],[Red Team Number]],'Game Scores'!$B:$I,2+COUNTIF($C$2:E159,E159),FALSE)</f>
        <v/>
      </c>
      <c r="I159" s="50" t="str">
        <f>IF(SUM(RobotGameScores3[[#This Row],[Blue Team Score]:[Red Team Score]])=0,"",SUM(RobotGameScores3[[#This Row],[Blue Team Score]:[Red Team Score]]))</f>
        <v/>
      </c>
      <c r="J159" s="50" t="str">
        <f>IF(RobotGameScores3[[#This Row],[Blue Team Number]]="","",_xlfn.RANK.EQ(RobotGameScores3[[#This Row],[Highest Combined Score]],CombinedMatchScore))</f>
        <v/>
      </c>
    </row>
    <row r="160" spans="1:10" ht="21" customHeight="1" x14ac:dyDescent="0.25">
      <c r="A160">
        <v>159</v>
      </c>
      <c r="C160" s="8"/>
      <c r="D160" s="20"/>
      <c r="F160" s="20"/>
      <c r="G160" t="str">
        <f>VLOOKUP(RobotGameScores3[[#This Row],[Blue Team Number]],'Game Scores'!$B:$I,2+COUNTIF($C$2:E160,C160),FALSE)</f>
        <v/>
      </c>
      <c r="H160" t="str">
        <f>VLOOKUP(RobotGameScores3[[#This Row],[Red Team Number]],'Game Scores'!$B:$I,2+COUNTIF($C$2:E160,E160),FALSE)</f>
        <v/>
      </c>
      <c r="I160" s="50" t="str">
        <f>IF(SUM(RobotGameScores3[[#This Row],[Blue Team Score]:[Red Team Score]])=0,"",SUM(RobotGameScores3[[#This Row],[Blue Team Score]:[Red Team Score]]))</f>
        <v/>
      </c>
      <c r="J160" s="50" t="str">
        <f>IF(RobotGameScores3[[#This Row],[Blue Team Number]]="","",_xlfn.RANK.EQ(RobotGameScores3[[#This Row],[Highest Combined Score]],CombinedMatchScore))</f>
        <v/>
      </c>
    </row>
    <row r="161" spans="1:10" ht="21" customHeight="1" x14ac:dyDescent="0.25">
      <c r="A161">
        <v>160</v>
      </c>
      <c r="C161" s="8"/>
      <c r="D161" s="20"/>
      <c r="F161" s="20"/>
      <c r="G161" t="str">
        <f>VLOOKUP(RobotGameScores3[[#This Row],[Blue Team Number]],'Game Scores'!$B:$I,2+COUNTIF($C$2:E161,C161),FALSE)</f>
        <v/>
      </c>
      <c r="H161" t="str">
        <f>VLOOKUP(RobotGameScores3[[#This Row],[Red Team Number]],'Game Scores'!$B:$I,2+COUNTIF($C$2:E161,E161),FALSE)</f>
        <v/>
      </c>
      <c r="I161" s="50" t="str">
        <f>IF(SUM(RobotGameScores3[[#This Row],[Blue Team Score]:[Red Team Score]])=0,"",SUM(RobotGameScores3[[#This Row],[Blue Team Score]:[Red Team Score]]))</f>
        <v/>
      </c>
      <c r="J161" s="50" t="str">
        <f>IF(RobotGameScores3[[#This Row],[Blue Team Number]]="","",_xlfn.RANK.EQ(RobotGameScores3[[#This Row],[Highest Combined Score]],CombinedMatchScore))</f>
        <v/>
      </c>
    </row>
    <row r="162" spans="1:10" ht="21" customHeight="1" x14ac:dyDescent="0.25">
      <c r="A162">
        <v>161</v>
      </c>
      <c r="C162" s="8"/>
      <c r="D162" s="20"/>
      <c r="F162" s="20"/>
      <c r="G162" t="str">
        <f>VLOOKUP(RobotGameScores3[[#This Row],[Blue Team Number]],'Game Scores'!$B:$I,2+COUNTIF($C$2:E162,C162),FALSE)</f>
        <v/>
      </c>
      <c r="H162" t="str">
        <f>VLOOKUP(RobotGameScores3[[#This Row],[Red Team Number]],'Game Scores'!$B:$I,2+COUNTIF($C$2:E162,E162),FALSE)</f>
        <v/>
      </c>
      <c r="I162" s="50" t="str">
        <f>IF(SUM(RobotGameScores3[[#This Row],[Blue Team Score]:[Red Team Score]])=0,"",SUM(RobotGameScores3[[#This Row],[Blue Team Score]:[Red Team Score]]))</f>
        <v/>
      </c>
      <c r="J162" s="50" t="str">
        <f>IF(RobotGameScores3[[#This Row],[Blue Team Number]]="","",_xlfn.RANK.EQ(RobotGameScores3[[#This Row],[Highest Combined Score]],CombinedMatchScore))</f>
        <v/>
      </c>
    </row>
    <row r="163" spans="1:10" ht="21" customHeight="1" x14ac:dyDescent="0.25">
      <c r="A163">
        <v>162</v>
      </c>
      <c r="C163" s="8"/>
      <c r="D163" s="20"/>
      <c r="F163" s="20"/>
      <c r="G163" t="str">
        <f>VLOOKUP(RobotGameScores3[[#This Row],[Blue Team Number]],'Game Scores'!$B:$I,2+COUNTIF($C$2:E163,C163),FALSE)</f>
        <v/>
      </c>
      <c r="H163" t="str">
        <f>VLOOKUP(RobotGameScores3[[#This Row],[Red Team Number]],'Game Scores'!$B:$I,2+COUNTIF($C$2:E163,E163),FALSE)</f>
        <v/>
      </c>
      <c r="I163" s="50" t="str">
        <f>IF(SUM(RobotGameScores3[[#This Row],[Blue Team Score]:[Red Team Score]])=0,"",SUM(RobotGameScores3[[#This Row],[Blue Team Score]:[Red Team Score]]))</f>
        <v/>
      </c>
      <c r="J163" s="50" t="str">
        <f>IF(RobotGameScores3[[#This Row],[Blue Team Number]]="","",_xlfn.RANK.EQ(RobotGameScores3[[#This Row],[Highest Combined Score]],CombinedMatchScore))</f>
        <v/>
      </c>
    </row>
    <row r="164" spans="1:10" ht="21" customHeight="1" x14ac:dyDescent="0.25">
      <c r="A164">
        <v>163</v>
      </c>
      <c r="C164" s="8"/>
      <c r="D164" s="20"/>
      <c r="F164" s="20"/>
      <c r="G164" t="str">
        <f>VLOOKUP(RobotGameScores3[[#This Row],[Blue Team Number]],'Game Scores'!$B:$I,2+COUNTIF($C$2:E164,C164),FALSE)</f>
        <v/>
      </c>
      <c r="H164" t="str">
        <f>VLOOKUP(RobotGameScores3[[#This Row],[Red Team Number]],'Game Scores'!$B:$I,2+COUNTIF($C$2:E164,E164),FALSE)</f>
        <v/>
      </c>
      <c r="I164" s="50" t="str">
        <f>IF(SUM(RobotGameScores3[[#This Row],[Blue Team Score]:[Red Team Score]])=0,"",SUM(RobotGameScores3[[#This Row],[Blue Team Score]:[Red Team Score]]))</f>
        <v/>
      </c>
      <c r="J164" s="50" t="str">
        <f>IF(RobotGameScores3[[#This Row],[Blue Team Number]]="","",_xlfn.RANK.EQ(RobotGameScores3[[#This Row],[Highest Combined Score]],CombinedMatchScore))</f>
        <v/>
      </c>
    </row>
    <row r="165" spans="1:10" ht="21" customHeight="1" x14ac:dyDescent="0.25">
      <c r="A165">
        <v>164</v>
      </c>
      <c r="C165" s="8"/>
      <c r="D165" s="20"/>
      <c r="F165" s="20"/>
      <c r="G165" t="str">
        <f>VLOOKUP(RobotGameScores3[[#This Row],[Blue Team Number]],'Game Scores'!$B:$I,2+COUNTIF($C$2:E165,C165),FALSE)</f>
        <v/>
      </c>
      <c r="H165" t="str">
        <f>VLOOKUP(RobotGameScores3[[#This Row],[Red Team Number]],'Game Scores'!$B:$I,2+COUNTIF($C$2:E165,E165),FALSE)</f>
        <v/>
      </c>
      <c r="I165" s="50" t="str">
        <f>IF(SUM(RobotGameScores3[[#This Row],[Blue Team Score]:[Red Team Score]])=0,"",SUM(RobotGameScores3[[#This Row],[Blue Team Score]:[Red Team Score]]))</f>
        <v/>
      </c>
      <c r="J165" s="50" t="str">
        <f>IF(RobotGameScores3[[#This Row],[Blue Team Number]]="","",_xlfn.RANK.EQ(RobotGameScores3[[#This Row],[Highest Combined Score]],CombinedMatchScore))</f>
        <v/>
      </c>
    </row>
    <row r="166" spans="1:10" ht="21" customHeight="1" x14ac:dyDescent="0.25">
      <c r="A166">
        <v>165</v>
      </c>
      <c r="C166" s="8"/>
      <c r="D166" s="20"/>
      <c r="F166" s="20"/>
      <c r="G166" t="str">
        <f>VLOOKUP(RobotGameScores3[[#This Row],[Blue Team Number]],'Game Scores'!$B:$I,2+COUNTIF($C$2:E166,C166),FALSE)</f>
        <v/>
      </c>
      <c r="H166" t="str">
        <f>VLOOKUP(RobotGameScores3[[#This Row],[Red Team Number]],'Game Scores'!$B:$I,2+COUNTIF($C$2:E166,E166),FALSE)</f>
        <v/>
      </c>
      <c r="I166" s="50" t="str">
        <f>IF(SUM(RobotGameScores3[[#This Row],[Blue Team Score]:[Red Team Score]])=0,"",SUM(RobotGameScores3[[#This Row],[Blue Team Score]:[Red Team Score]]))</f>
        <v/>
      </c>
      <c r="J166" s="50" t="str">
        <f>IF(RobotGameScores3[[#This Row],[Blue Team Number]]="","",_xlfn.RANK.EQ(RobotGameScores3[[#This Row],[Highest Combined Score]],CombinedMatchScore))</f>
        <v/>
      </c>
    </row>
    <row r="167" spans="1:10" ht="21" customHeight="1" x14ac:dyDescent="0.25">
      <c r="A167">
        <v>166</v>
      </c>
      <c r="C167" s="8"/>
      <c r="D167" s="20"/>
      <c r="F167" s="20"/>
      <c r="G167" t="str">
        <f>VLOOKUP(RobotGameScores3[[#This Row],[Blue Team Number]],'Game Scores'!$B:$I,2+COUNTIF($C$2:E167,C167),FALSE)</f>
        <v/>
      </c>
      <c r="H167" t="str">
        <f>VLOOKUP(RobotGameScores3[[#This Row],[Red Team Number]],'Game Scores'!$B:$I,2+COUNTIF($C$2:E167,E167),FALSE)</f>
        <v/>
      </c>
      <c r="I167" s="50" t="str">
        <f>IF(SUM(RobotGameScores3[[#This Row],[Blue Team Score]:[Red Team Score]])=0,"",SUM(RobotGameScores3[[#This Row],[Blue Team Score]:[Red Team Score]]))</f>
        <v/>
      </c>
      <c r="J167" s="50" t="str">
        <f>IF(RobotGameScores3[[#This Row],[Blue Team Number]]="","",_xlfn.RANK.EQ(RobotGameScores3[[#This Row],[Highest Combined Score]],CombinedMatchScore))</f>
        <v/>
      </c>
    </row>
    <row r="168" spans="1:10" ht="21" customHeight="1" x14ac:dyDescent="0.25">
      <c r="A168">
        <v>167</v>
      </c>
      <c r="C168" s="8"/>
      <c r="D168" s="20"/>
      <c r="F168" s="20"/>
      <c r="G168" t="str">
        <f>VLOOKUP(RobotGameScores3[[#This Row],[Blue Team Number]],'Game Scores'!$B:$I,2+COUNTIF($C$2:E168,C168),FALSE)</f>
        <v/>
      </c>
      <c r="H168" t="str">
        <f>VLOOKUP(RobotGameScores3[[#This Row],[Red Team Number]],'Game Scores'!$B:$I,2+COUNTIF($C$2:E168,E168),FALSE)</f>
        <v/>
      </c>
      <c r="I168" s="50" t="str">
        <f>IF(SUM(RobotGameScores3[[#This Row],[Blue Team Score]:[Red Team Score]])=0,"",SUM(RobotGameScores3[[#This Row],[Blue Team Score]:[Red Team Score]]))</f>
        <v/>
      </c>
      <c r="J168" s="50" t="str">
        <f>IF(RobotGameScores3[[#This Row],[Blue Team Number]]="","",_xlfn.RANK.EQ(RobotGameScores3[[#This Row],[Highest Combined Score]],CombinedMatchScore))</f>
        <v/>
      </c>
    </row>
    <row r="169" spans="1:10" ht="21" customHeight="1" x14ac:dyDescent="0.25">
      <c r="A169">
        <v>168</v>
      </c>
      <c r="C169" s="8"/>
      <c r="D169" s="20"/>
      <c r="F169" s="20"/>
      <c r="G169" t="str">
        <f>VLOOKUP(RobotGameScores3[[#This Row],[Blue Team Number]],'Game Scores'!$B:$I,2+COUNTIF($C$2:E169,C169),FALSE)</f>
        <v/>
      </c>
      <c r="H169" t="str">
        <f>VLOOKUP(RobotGameScores3[[#This Row],[Red Team Number]],'Game Scores'!$B:$I,2+COUNTIF($C$2:E169,E169),FALSE)</f>
        <v/>
      </c>
      <c r="I169" s="50" t="str">
        <f>IF(SUM(RobotGameScores3[[#This Row],[Blue Team Score]:[Red Team Score]])=0,"",SUM(RobotGameScores3[[#This Row],[Blue Team Score]:[Red Team Score]]))</f>
        <v/>
      </c>
      <c r="J169" s="50" t="str">
        <f>IF(RobotGameScores3[[#This Row],[Blue Team Number]]="","",_xlfn.RANK.EQ(RobotGameScores3[[#This Row],[Highest Combined Score]],CombinedMatchScore))</f>
        <v/>
      </c>
    </row>
    <row r="170" spans="1:10" ht="21" customHeight="1" x14ac:dyDescent="0.25">
      <c r="A170">
        <v>169</v>
      </c>
      <c r="C170" s="8"/>
      <c r="D170" s="20"/>
      <c r="F170" s="20"/>
      <c r="G170" t="str">
        <f>VLOOKUP(RobotGameScores3[[#This Row],[Blue Team Number]],'Game Scores'!$B:$I,2+COUNTIF($C$2:E170,C170),FALSE)</f>
        <v/>
      </c>
      <c r="H170" t="str">
        <f>VLOOKUP(RobotGameScores3[[#This Row],[Red Team Number]],'Game Scores'!$B:$I,2+COUNTIF($C$2:E170,E170),FALSE)</f>
        <v/>
      </c>
      <c r="I170" s="50" t="str">
        <f>IF(SUM(RobotGameScores3[[#This Row],[Blue Team Score]:[Red Team Score]])=0,"",SUM(RobotGameScores3[[#This Row],[Blue Team Score]:[Red Team Score]]))</f>
        <v/>
      </c>
      <c r="J170" s="50" t="str">
        <f>IF(RobotGameScores3[[#This Row],[Blue Team Number]]="","",_xlfn.RANK.EQ(RobotGameScores3[[#This Row],[Highest Combined Score]],CombinedMatchScore))</f>
        <v/>
      </c>
    </row>
    <row r="171" spans="1:10" ht="21" customHeight="1" x14ac:dyDescent="0.25">
      <c r="A171">
        <v>170</v>
      </c>
      <c r="C171" s="8"/>
      <c r="D171" s="20"/>
      <c r="F171" s="20"/>
      <c r="G171" t="str">
        <f>VLOOKUP(RobotGameScores3[[#This Row],[Blue Team Number]],'Game Scores'!$B:$I,2+COUNTIF($C$2:E171,C171),FALSE)</f>
        <v/>
      </c>
      <c r="H171" t="str">
        <f>VLOOKUP(RobotGameScores3[[#This Row],[Red Team Number]],'Game Scores'!$B:$I,2+COUNTIF($C$2:E171,E171),FALSE)</f>
        <v/>
      </c>
      <c r="I171" s="50" t="str">
        <f>IF(SUM(RobotGameScores3[[#This Row],[Blue Team Score]:[Red Team Score]])=0,"",SUM(RobotGameScores3[[#This Row],[Blue Team Score]:[Red Team Score]]))</f>
        <v/>
      </c>
      <c r="J171" s="50" t="str">
        <f>IF(RobotGameScores3[[#This Row],[Blue Team Number]]="","",_xlfn.RANK.EQ(RobotGameScores3[[#This Row],[Highest Combined Score]],CombinedMatchScore))</f>
        <v/>
      </c>
    </row>
    <row r="172" spans="1:10" ht="21" customHeight="1" x14ac:dyDescent="0.25">
      <c r="A172">
        <v>171</v>
      </c>
      <c r="C172" s="8"/>
      <c r="D172" s="20"/>
      <c r="F172" s="20"/>
      <c r="G172" t="str">
        <f>VLOOKUP(RobotGameScores3[[#This Row],[Blue Team Number]],'Game Scores'!$B:$I,2+COUNTIF($C$2:E172,C172),FALSE)</f>
        <v/>
      </c>
      <c r="H172" t="str">
        <f>VLOOKUP(RobotGameScores3[[#This Row],[Red Team Number]],'Game Scores'!$B:$I,2+COUNTIF($C$2:E172,E172),FALSE)</f>
        <v/>
      </c>
      <c r="I172" s="50" t="str">
        <f>IF(SUM(RobotGameScores3[[#This Row],[Blue Team Score]:[Red Team Score]])=0,"",SUM(RobotGameScores3[[#This Row],[Blue Team Score]:[Red Team Score]]))</f>
        <v/>
      </c>
      <c r="J172" s="50" t="str">
        <f>IF(RobotGameScores3[[#This Row],[Blue Team Number]]="","",_xlfn.RANK.EQ(RobotGameScores3[[#This Row],[Highest Combined Score]],CombinedMatchScore))</f>
        <v/>
      </c>
    </row>
    <row r="173" spans="1:10" ht="21" customHeight="1" x14ac:dyDescent="0.25">
      <c r="A173">
        <v>172</v>
      </c>
      <c r="C173" s="8"/>
      <c r="D173" s="20"/>
      <c r="F173" s="20"/>
      <c r="G173" t="str">
        <f>VLOOKUP(RobotGameScores3[[#This Row],[Blue Team Number]],'Game Scores'!$B:$I,2+COUNTIF($C$2:E173,C173),FALSE)</f>
        <v/>
      </c>
      <c r="H173" t="str">
        <f>VLOOKUP(RobotGameScores3[[#This Row],[Red Team Number]],'Game Scores'!$B:$I,2+COUNTIF($C$2:E173,E173),FALSE)</f>
        <v/>
      </c>
      <c r="I173" s="50" t="str">
        <f>IF(SUM(RobotGameScores3[[#This Row],[Blue Team Score]:[Red Team Score]])=0,"",SUM(RobotGameScores3[[#This Row],[Blue Team Score]:[Red Team Score]]))</f>
        <v/>
      </c>
      <c r="J173" s="50" t="str">
        <f>IF(RobotGameScores3[[#This Row],[Blue Team Number]]="","",_xlfn.RANK.EQ(RobotGameScores3[[#This Row],[Highest Combined Score]],CombinedMatchScore))</f>
        <v/>
      </c>
    </row>
    <row r="174" spans="1:10" ht="21" customHeight="1" x14ac:dyDescent="0.25">
      <c r="A174">
        <v>173</v>
      </c>
      <c r="C174" s="8"/>
      <c r="D174" s="20"/>
      <c r="F174" s="20"/>
      <c r="G174" t="str">
        <f>VLOOKUP(RobotGameScores3[[#This Row],[Blue Team Number]],'Game Scores'!$B:$I,2+COUNTIF($C$2:E174,C174),FALSE)</f>
        <v/>
      </c>
      <c r="H174" t="str">
        <f>VLOOKUP(RobotGameScores3[[#This Row],[Red Team Number]],'Game Scores'!$B:$I,2+COUNTIF($C$2:E174,E174),FALSE)</f>
        <v/>
      </c>
      <c r="I174" s="50" t="str">
        <f>IF(SUM(RobotGameScores3[[#This Row],[Blue Team Score]:[Red Team Score]])=0,"",SUM(RobotGameScores3[[#This Row],[Blue Team Score]:[Red Team Score]]))</f>
        <v/>
      </c>
      <c r="J174" s="50" t="str">
        <f>IF(RobotGameScores3[[#This Row],[Blue Team Number]]="","",_xlfn.RANK.EQ(RobotGameScores3[[#This Row],[Highest Combined Score]],CombinedMatchScore))</f>
        <v/>
      </c>
    </row>
    <row r="175" spans="1:10" ht="21" customHeight="1" x14ac:dyDescent="0.25">
      <c r="A175">
        <v>174</v>
      </c>
      <c r="C175" s="8"/>
      <c r="D175" s="20"/>
      <c r="F175" s="20"/>
      <c r="G175" t="str">
        <f>VLOOKUP(RobotGameScores3[[#This Row],[Blue Team Number]],'Game Scores'!$B:$I,2+COUNTIF($C$2:E175,C175),FALSE)</f>
        <v/>
      </c>
      <c r="H175" t="str">
        <f>VLOOKUP(RobotGameScores3[[#This Row],[Red Team Number]],'Game Scores'!$B:$I,2+COUNTIF($C$2:E175,E175),FALSE)</f>
        <v/>
      </c>
      <c r="I175" s="50" t="str">
        <f>IF(SUM(RobotGameScores3[[#This Row],[Blue Team Score]:[Red Team Score]])=0,"",SUM(RobotGameScores3[[#This Row],[Blue Team Score]:[Red Team Score]]))</f>
        <v/>
      </c>
      <c r="J175" s="50" t="str">
        <f>IF(RobotGameScores3[[#This Row],[Blue Team Number]]="","",_xlfn.RANK.EQ(RobotGameScores3[[#This Row],[Highest Combined Score]],CombinedMatchScore))</f>
        <v/>
      </c>
    </row>
    <row r="176" spans="1:10" ht="21" customHeight="1" x14ac:dyDescent="0.25">
      <c r="A176">
        <v>175</v>
      </c>
      <c r="C176" s="8"/>
      <c r="D176" s="20"/>
      <c r="F176" s="20"/>
      <c r="G176" t="str">
        <f>VLOOKUP(RobotGameScores3[[#This Row],[Blue Team Number]],'Game Scores'!$B:$I,2+COUNTIF($C$2:E176,C176),FALSE)</f>
        <v/>
      </c>
      <c r="H176" t="str">
        <f>VLOOKUP(RobotGameScores3[[#This Row],[Red Team Number]],'Game Scores'!$B:$I,2+COUNTIF($C$2:E176,E176),FALSE)</f>
        <v/>
      </c>
      <c r="I176" s="50" t="str">
        <f>IF(SUM(RobotGameScores3[[#This Row],[Blue Team Score]:[Red Team Score]])=0,"",SUM(RobotGameScores3[[#This Row],[Blue Team Score]:[Red Team Score]]))</f>
        <v/>
      </c>
      <c r="J176" s="50" t="str">
        <f>IF(RobotGameScores3[[#This Row],[Blue Team Number]]="","",_xlfn.RANK.EQ(RobotGameScores3[[#This Row],[Highest Combined Score]],CombinedMatchScore))</f>
        <v/>
      </c>
    </row>
    <row r="177" spans="1:10" ht="21" customHeight="1" x14ac:dyDescent="0.25">
      <c r="A177">
        <v>176</v>
      </c>
      <c r="C177" s="8"/>
      <c r="D177" s="20"/>
      <c r="F177" s="20"/>
      <c r="G177" t="str">
        <f>VLOOKUP(RobotGameScores3[[#This Row],[Blue Team Number]],'Game Scores'!$B:$I,2+COUNTIF($C$2:E177,C177),FALSE)</f>
        <v/>
      </c>
      <c r="H177" t="str">
        <f>VLOOKUP(RobotGameScores3[[#This Row],[Red Team Number]],'Game Scores'!$B:$I,2+COUNTIF($C$2:E177,E177),FALSE)</f>
        <v/>
      </c>
      <c r="I177" s="50" t="str">
        <f>IF(SUM(RobotGameScores3[[#This Row],[Blue Team Score]:[Red Team Score]])=0,"",SUM(RobotGameScores3[[#This Row],[Blue Team Score]:[Red Team Score]]))</f>
        <v/>
      </c>
      <c r="J177" s="50" t="str">
        <f>IF(RobotGameScores3[[#This Row],[Blue Team Number]]="","",_xlfn.RANK.EQ(RobotGameScores3[[#This Row],[Highest Combined Score]],CombinedMatchScore))</f>
        <v/>
      </c>
    </row>
    <row r="178" spans="1:10" ht="21" customHeight="1" x14ac:dyDescent="0.25">
      <c r="A178">
        <v>177</v>
      </c>
      <c r="C178" s="8"/>
      <c r="D178" s="20"/>
      <c r="F178" s="20"/>
      <c r="G178" t="str">
        <f>VLOOKUP(RobotGameScores3[[#This Row],[Blue Team Number]],'Game Scores'!$B:$I,2+COUNTIF($C$2:E178,C178),FALSE)</f>
        <v/>
      </c>
      <c r="H178" t="str">
        <f>VLOOKUP(RobotGameScores3[[#This Row],[Red Team Number]],'Game Scores'!$B:$I,2+COUNTIF($C$2:E178,E178),FALSE)</f>
        <v/>
      </c>
      <c r="I178" s="50" t="str">
        <f>IF(SUM(RobotGameScores3[[#This Row],[Blue Team Score]:[Red Team Score]])=0,"",SUM(RobotGameScores3[[#This Row],[Blue Team Score]:[Red Team Score]]))</f>
        <v/>
      </c>
      <c r="J178" s="50" t="str">
        <f>IF(RobotGameScores3[[#This Row],[Blue Team Number]]="","",_xlfn.RANK.EQ(RobotGameScores3[[#This Row],[Highest Combined Score]],CombinedMatchScore))</f>
        <v/>
      </c>
    </row>
    <row r="179" spans="1:10" ht="21" customHeight="1" x14ac:dyDescent="0.25">
      <c r="A179">
        <v>178</v>
      </c>
      <c r="C179" s="8"/>
      <c r="D179" s="20"/>
      <c r="F179" s="20"/>
      <c r="G179" t="str">
        <f>VLOOKUP(RobotGameScores3[[#This Row],[Blue Team Number]],'Game Scores'!$B:$I,2+COUNTIF($C$2:E179,C179),FALSE)</f>
        <v/>
      </c>
      <c r="H179" t="str">
        <f>VLOOKUP(RobotGameScores3[[#This Row],[Red Team Number]],'Game Scores'!$B:$I,2+COUNTIF($C$2:E179,E179),FALSE)</f>
        <v/>
      </c>
      <c r="I179" s="50" t="str">
        <f>IF(SUM(RobotGameScores3[[#This Row],[Blue Team Score]:[Red Team Score]])=0,"",SUM(RobotGameScores3[[#This Row],[Blue Team Score]:[Red Team Score]]))</f>
        <v/>
      </c>
      <c r="J179" s="50" t="str">
        <f>IF(RobotGameScores3[[#This Row],[Blue Team Number]]="","",_xlfn.RANK.EQ(RobotGameScores3[[#This Row],[Highest Combined Score]],CombinedMatchScore))</f>
        <v/>
      </c>
    </row>
    <row r="180" spans="1:10" ht="21" customHeight="1" x14ac:dyDescent="0.25">
      <c r="A180">
        <v>179</v>
      </c>
      <c r="C180" s="8"/>
      <c r="D180" s="20"/>
      <c r="F180" s="20"/>
      <c r="G180" t="str">
        <f>VLOOKUP(RobotGameScores3[[#This Row],[Blue Team Number]],'Game Scores'!$B:$I,2+COUNTIF($C$2:E180,C180),FALSE)</f>
        <v/>
      </c>
      <c r="H180" t="str">
        <f>VLOOKUP(RobotGameScores3[[#This Row],[Red Team Number]],'Game Scores'!$B:$I,2+COUNTIF($C$2:E180,E180),FALSE)</f>
        <v/>
      </c>
      <c r="I180" s="50" t="str">
        <f>IF(SUM(RobotGameScores3[[#This Row],[Blue Team Score]:[Red Team Score]])=0,"",SUM(RobotGameScores3[[#This Row],[Blue Team Score]:[Red Team Score]]))</f>
        <v/>
      </c>
      <c r="J180" s="50" t="str">
        <f>IF(RobotGameScores3[[#This Row],[Blue Team Number]]="","",_xlfn.RANK.EQ(RobotGameScores3[[#This Row],[Highest Combined Score]],CombinedMatchScore))</f>
        <v/>
      </c>
    </row>
    <row r="181" spans="1:10" ht="21" customHeight="1" x14ac:dyDescent="0.25">
      <c r="A181">
        <v>180</v>
      </c>
      <c r="C181" s="8"/>
      <c r="D181" s="20"/>
      <c r="F181" s="20"/>
      <c r="G181" t="str">
        <f>VLOOKUP(RobotGameScores3[[#This Row],[Blue Team Number]],'Game Scores'!$B:$I,2+COUNTIF($C$2:E181,C181),FALSE)</f>
        <v/>
      </c>
      <c r="H181" t="str">
        <f>VLOOKUP(RobotGameScores3[[#This Row],[Red Team Number]],'Game Scores'!$B:$I,2+COUNTIF($C$2:E181,E181),FALSE)</f>
        <v/>
      </c>
      <c r="I181" s="50" t="str">
        <f>IF(SUM(RobotGameScores3[[#This Row],[Blue Team Score]:[Red Team Score]])=0,"",SUM(RobotGameScores3[[#This Row],[Blue Team Score]:[Red Team Score]]))</f>
        <v/>
      </c>
      <c r="J181" s="50" t="str">
        <f>IF(RobotGameScores3[[#This Row],[Blue Team Number]]="","",_xlfn.RANK.EQ(RobotGameScores3[[#This Row],[Highest Combined Score]],CombinedMatchScore))</f>
        <v/>
      </c>
    </row>
    <row r="182" spans="1:10" ht="21" customHeight="1" x14ac:dyDescent="0.25">
      <c r="A182">
        <v>181</v>
      </c>
      <c r="C182" s="8"/>
      <c r="D182" s="20"/>
      <c r="F182" s="20"/>
      <c r="G182" t="str">
        <f>VLOOKUP(RobotGameScores3[[#This Row],[Blue Team Number]],'Game Scores'!$B:$I,2+COUNTIF($C$2:E182,C182),FALSE)</f>
        <v/>
      </c>
      <c r="H182" t="str">
        <f>VLOOKUP(RobotGameScores3[[#This Row],[Red Team Number]],'Game Scores'!$B:$I,2+COUNTIF($C$2:E182,E182),FALSE)</f>
        <v/>
      </c>
      <c r="I182" s="50" t="str">
        <f>IF(SUM(RobotGameScores3[[#This Row],[Blue Team Score]:[Red Team Score]])=0,"",SUM(RobotGameScores3[[#This Row],[Blue Team Score]:[Red Team Score]]))</f>
        <v/>
      </c>
      <c r="J182" s="50" t="str">
        <f>IF(RobotGameScores3[[#This Row],[Blue Team Number]]="","",_xlfn.RANK.EQ(RobotGameScores3[[#This Row],[Highest Combined Score]],CombinedMatchScore))</f>
        <v/>
      </c>
    </row>
    <row r="183" spans="1:10" ht="21" customHeight="1" x14ac:dyDescent="0.25">
      <c r="A183">
        <v>182</v>
      </c>
      <c r="C183" s="8"/>
      <c r="D183" s="20"/>
      <c r="F183" s="20"/>
      <c r="G183" t="str">
        <f>VLOOKUP(RobotGameScores3[[#This Row],[Blue Team Number]],'Game Scores'!$B:$I,2+COUNTIF($C$2:E183,C183),FALSE)</f>
        <v/>
      </c>
      <c r="H183" t="str">
        <f>VLOOKUP(RobotGameScores3[[#This Row],[Red Team Number]],'Game Scores'!$B:$I,2+COUNTIF($C$2:E183,E183),FALSE)</f>
        <v/>
      </c>
      <c r="I183" s="50" t="str">
        <f>IF(SUM(RobotGameScores3[[#This Row],[Blue Team Score]:[Red Team Score]])=0,"",SUM(RobotGameScores3[[#This Row],[Blue Team Score]:[Red Team Score]]))</f>
        <v/>
      </c>
      <c r="J183" s="50" t="str">
        <f>IF(RobotGameScores3[[#This Row],[Blue Team Number]]="","",_xlfn.RANK.EQ(RobotGameScores3[[#This Row],[Highest Combined Score]],CombinedMatchScore))</f>
        <v/>
      </c>
    </row>
    <row r="184" spans="1:10" ht="21" customHeight="1" x14ac:dyDescent="0.25">
      <c r="A184">
        <v>183</v>
      </c>
      <c r="C184" s="8"/>
      <c r="D184" s="20"/>
      <c r="F184" s="20"/>
      <c r="G184" t="str">
        <f>VLOOKUP(RobotGameScores3[[#This Row],[Blue Team Number]],'Game Scores'!$B:$I,2+COUNTIF($C$2:E184,C184),FALSE)</f>
        <v/>
      </c>
      <c r="H184" t="str">
        <f>VLOOKUP(RobotGameScores3[[#This Row],[Red Team Number]],'Game Scores'!$B:$I,2+COUNTIF($C$2:E184,E184),FALSE)</f>
        <v/>
      </c>
      <c r="I184" s="50" t="str">
        <f>IF(SUM(RobotGameScores3[[#This Row],[Blue Team Score]:[Red Team Score]])=0,"",SUM(RobotGameScores3[[#This Row],[Blue Team Score]:[Red Team Score]]))</f>
        <v/>
      </c>
      <c r="J184" s="50" t="str">
        <f>IF(RobotGameScores3[[#This Row],[Blue Team Number]]="","",_xlfn.RANK.EQ(RobotGameScores3[[#This Row],[Highest Combined Score]],CombinedMatchScore))</f>
        <v/>
      </c>
    </row>
    <row r="185" spans="1:10" ht="21" customHeight="1" x14ac:dyDescent="0.25">
      <c r="A185">
        <v>184</v>
      </c>
      <c r="C185" s="8"/>
      <c r="D185" s="20"/>
      <c r="F185" s="20"/>
      <c r="G185" t="str">
        <f>VLOOKUP(RobotGameScores3[[#This Row],[Blue Team Number]],'Game Scores'!$B:$I,2+COUNTIF($C$2:E185,C185),FALSE)</f>
        <v/>
      </c>
      <c r="H185" t="str">
        <f>VLOOKUP(RobotGameScores3[[#This Row],[Red Team Number]],'Game Scores'!$B:$I,2+COUNTIF($C$2:E185,E185),FALSE)</f>
        <v/>
      </c>
      <c r="I185" s="50" t="str">
        <f>IF(SUM(RobotGameScores3[[#This Row],[Blue Team Score]:[Red Team Score]])=0,"",SUM(RobotGameScores3[[#This Row],[Blue Team Score]:[Red Team Score]]))</f>
        <v/>
      </c>
      <c r="J185" s="50" t="str">
        <f>IF(RobotGameScores3[[#This Row],[Blue Team Number]]="","",_xlfn.RANK.EQ(RobotGameScores3[[#This Row],[Highest Combined Score]],CombinedMatchScore))</f>
        <v/>
      </c>
    </row>
    <row r="186" spans="1:10" ht="21" customHeight="1" x14ac:dyDescent="0.25">
      <c r="A186">
        <v>185</v>
      </c>
      <c r="C186" s="8"/>
      <c r="D186" s="20"/>
      <c r="F186" s="20"/>
      <c r="G186" t="str">
        <f>VLOOKUP(RobotGameScores3[[#This Row],[Blue Team Number]],'Game Scores'!$B:$I,2+COUNTIF($C$2:E186,C186),FALSE)</f>
        <v/>
      </c>
      <c r="H186" t="str">
        <f>VLOOKUP(RobotGameScores3[[#This Row],[Red Team Number]],'Game Scores'!$B:$I,2+COUNTIF($C$2:E186,E186),FALSE)</f>
        <v/>
      </c>
      <c r="I186" s="50" t="str">
        <f>IF(SUM(RobotGameScores3[[#This Row],[Blue Team Score]:[Red Team Score]])=0,"",SUM(RobotGameScores3[[#This Row],[Blue Team Score]:[Red Team Score]]))</f>
        <v/>
      </c>
      <c r="J186" s="50" t="str">
        <f>IF(RobotGameScores3[[#This Row],[Blue Team Number]]="","",_xlfn.RANK.EQ(RobotGameScores3[[#This Row],[Highest Combined Score]],CombinedMatchScore))</f>
        <v/>
      </c>
    </row>
    <row r="187" spans="1:10" ht="21" customHeight="1" x14ac:dyDescent="0.25">
      <c r="A187">
        <v>186</v>
      </c>
      <c r="C187" s="8"/>
      <c r="D187" s="20"/>
      <c r="F187" s="20"/>
      <c r="G187" t="str">
        <f>VLOOKUP(RobotGameScores3[[#This Row],[Blue Team Number]],'Game Scores'!$B:$I,2+COUNTIF($C$2:E187,C187),FALSE)</f>
        <v/>
      </c>
      <c r="H187" t="str">
        <f>VLOOKUP(RobotGameScores3[[#This Row],[Red Team Number]],'Game Scores'!$B:$I,2+COUNTIF($C$2:E187,E187),FALSE)</f>
        <v/>
      </c>
      <c r="I187" s="50" t="str">
        <f>IF(SUM(RobotGameScores3[[#This Row],[Blue Team Score]:[Red Team Score]])=0,"",SUM(RobotGameScores3[[#This Row],[Blue Team Score]:[Red Team Score]]))</f>
        <v/>
      </c>
      <c r="J187" s="50" t="str">
        <f>IF(RobotGameScores3[[#This Row],[Blue Team Number]]="","",_xlfn.RANK.EQ(RobotGameScores3[[#This Row],[Highest Combined Score]],CombinedMatchScore))</f>
        <v/>
      </c>
    </row>
    <row r="188" spans="1:10" ht="21" customHeight="1" x14ac:dyDescent="0.25">
      <c r="A188">
        <v>187</v>
      </c>
      <c r="C188" s="8"/>
      <c r="D188" s="20"/>
      <c r="F188" s="20"/>
      <c r="G188" t="str">
        <f>VLOOKUP(RobotGameScores3[[#This Row],[Blue Team Number]],'Game Scores'!$B:$I,2+COUNTIF($C$2:E188,C188),FALSE)</f>
        <v/>
      </c>
      <c r="H188" t="str">
        <f>VLOOKUP(RobotGameScores3[[#This Row],[Red Team Number]],'Game Scores'!$B:$I,2+COUNTIF($C$2:E188,E188),FALSE)</f>
        <v/>
      </c>
      <c r="I188" s="50" t="str">
        <f>IF(SUM(RobotGameScores3[[#This Row],[Blue Team Score]:[Red Team Score]])=0,"",SUM(RobotGameScores3[[#This Row],[Blue Team Score]:[Red Team Score]]))</f>
        <v/>
      </c>
      <c r="J188" s="50" t="str">
        <f>IF(RobotGameScores3[[#This Row],[Blue Team Number]]="","",_xlfn.RANK.EQ(RobotGameScores3[[#This Row],[Highest Combined Score]],CombinedMatchScore))</f>
        <v/>
      </c>
    </row>
    <row r="189" spans="1:10" ht="21" customHeight="1" x14ac:dyDescent="0.25">
      <c r="A189">
        <v>188</v>
      </c>
      <c r="C189" s="8"/>
      <c r="D189" s="20"/>
      <c r="F189" s="20"/>
      <c r="G189" t="str">
        <f>VLOOKUP(RobotGameScores3[[#This Row],[Blue Team Number]],'Game Scores'!$B:$I,2+COUNTIF($C$2:E189,C189),FALSE)</f>
        <v/>
      </c>
      <c r="H189" t="str">
        <f>VLOOKUP(RobotGameScores3[[#This Row],[Red Team Number]],'Game Scores'!$B:$I,2+COUNTIF($C$2:E189,E189),FALSE)</f>
        <v/>
      </c>
      <c r="I189" s="50" t="str">
        <f>IF(SUM(RobotGameScores3[[#This Row],[Blue Team Score]:[Red Team Score]])=0,"",SUM(RobotGameScores3[[#This Row],[Blue Team Score]:[Red Team Score]]))</f>
        <v/>
      </c>
      <c r="J189" s="50" t="str">
        <f>IF(RobotGameScores3[[#This Row],[Blue Team Number]]="","",_xlfn.RANK.EQ(RobotGameScores3[[#This Row],[Highest Combined Score]],CombinedMatchScore))</f>
        <v/>
      </c>
    </row>
    <row r="190" spans="1:10" ht="21" customHeight="1" x14ac:dyDescent="0.25">
      <c r="A190">
        <v>189</v>
      </c>
      <c r="C190" s="8"/>
      <c r="D190" s="20"/>
      <c r="F190" s="20"/>
      <c r="G190" t="str">
        <f>VLOOKUP(RobotGameScores3[[#This Row],[Blue Team Number]],'Game Scores'!$B:$I,2+COUNTIF($C$2:E190,C190),FALSE)</f>
        <v/>
      </c>
      <c r="H190" t="str">
        <f>VLOOKUP(RobotGameScores3[[#This Row],[Red Team Number]],'Game Scores'!$B:$I,2+COUNTIF($C$2:E190,E190),FALSE)</f>
        <v/>
      </c>
      <c r="I190" s="50" t="str">
        <f>IF(SUM(RobotGameScores3[[#This Row],[Blue Team Score]:[Red Team Score]])=0,"",SUM(RobotGameScores3[[#This Row],[Blue Team Score]:[Red Team Score]]))</f>
        <v/>
      </c>
      <c r="J190" s="50" t="str">
        <f>IF(RobotGameScores3[[#This Row],[Blue Team Number]]="","",_xlfn.RANK.EQ(RobotGameScores3[[#This Row],[Highest Combined Score]],CombinedMatchScore))</f>
        <v/>
      </c>
    </row>
    <row r="191" spans="1:10" ht="21" customHeight="1" x14ac:dyDescent="0.25">
      <c r="A191">
        <v>190</v>
      </c>
      <c r="C191" s="8"/>
      <c r="D191" s="20"/>
      <c r="F191" s="20"/>
      <c r="G191" t="str">
        <f>VLOOKUP(RobotGameScores3[[#This Row],[Blue Team Number]],'Game Scores'!$B:$I,2+COUNTIF($C$2:E191,C191),FALSE)</f>
        <v/>
      </c>
      <c r="H191" t="str">
        <f>VLOOKUP(RobotGameScores3[[#This Row],[Red Team Number]],'Game Scores'!$B:$I,2+COUNTIF($C$2:E191,E191),FALSE)</f>
        <v/>
      </c>
      <c r="I191" s="50" t="str">
        <f>IF(SUM(RobotGameScores3[[#This Row],[Blue Team Score]:[Red Team Score]])=0,"",SUM(RobotGameScores3[[#This Row],[Blue Team Score]:[Red Team Score]]))</f>
        <v/>
      </c>
      <c r="J191" s="50" t="str">
        <f>IF(RobotGameScores3[[#This Row],[Blue Team Number]]="","",_xlfn.RANK.EQ(RobotGameScores3[[#This Row],[Highest Combined Score]],CombinedMatchScore))</f>
        <v/>
      </c>
    </row>
    <row r="192" spans="1:10" ht="21" customHeight="1" x14ac:dyDescent="0.25">
      <c r="A192">
        <v>191</v>
      </c>
      <c r="C192" s="8"/>
      <c r="D192" s="20"/>
      <c r="F192" s="20"/>
      <c r="G192" t="str">
        <f>VLOOKUP(RobotGameScores3[[#This Row],[Blue Team Number]],'Game Scores'!$B:$I,2+COUNTIF($C$2:E192,C192),FALSE)</f>
        <v/>
      </c>
      <c r="H192" t="str">
        <f>VLOOKUP(RobotGameScores3[[#This Row],[Red Team Number]],'Game Scores'!$B:$I,2+COUNTIF($C$2:E192,E192),FALSE)</f>
        <v/>
      </c>
      <c r="I192" s="50" t="str">
        <f>IF(SUM(RobotGameScores3[[#This Row],[Blue Team Score]:[Red Team Score]])=0,"",SUM(RobotGameScores3[[#This Row],[Blue Team Score]:[Red Team Score]]))</f>
        <v/>
      </c>
      <c r="J192" s="50" t="str">
        <f>IF(RobotGameScores3[[#This Row],[Blue Team Number]]="","",_xlfn.RANK.EQ(RobotGameScores3[[#This Row],[Highest Combined Score]],CombinedMatchScore))</f>
        <v/>
      </c>
    </row>
    <row r="193" spans="1:10" ht="21" customHeight="1" x14ac:dyDescent="0.25">
      <c r="A193">
        <v>192</v>
      </c>
      <c r="C193" s="8"/>
      <c r="D193" s="20"/>
      <c r="F193" s="20"/>
      <c r="G193" t="str">
        <f>VLOOKUP(RobotGameScores3[[#This Row],[Blue Team Number]],'Game Scores'!$B:$I,2+COUNTIF($C$2:E193,C193),FALSE)</f>
        <v/>
      </c>
      <c r="H193" t="str">
        <f>VLOOKUP(RobotGameScores3[[#This Row],[Red Team Number]],'Game Scores'!$B:$I,2+COUNTIF($C$2:E193,E193),FALSE)</f>
        <v/>
      </c>
      <c r="I193" s="50" t="str">
        <f>IF(SUM(RobotGameScores3[[#This Row],[Blue Team Score]:[Red Team Score]])=0,"",SUM(RobotGameScores3[[#This Row],[Blue Team Score]:[Red Team Score]]))</f>
        <v/>
      </c>
      <c r="J193" s="50" t="str">
        <f>IF(RobotGameScores3[[#This Row],[Blue Team Number]]="","",_xlfn.RANK.EQ(RobotGameScores3[[#This Row],[Highest Combined Score]],CombinedMatchScore))</f>
        <v/>
      </c>
    </row>
    <row r="194" spans="1:10" ht="21" customHeight="1" x14ac:dyDescent="0.25">
      <c r="A194">
        <v>193</v>
      </c>
      <c r="C194" s="8"/>
      <c r="D194" s="20"/>
      <c r="F194" s="20"/>
      <c r="G194" t="str">
        <f>VLOOKUP(RobotGameScores3[[#This Row],[Blue Team Number]],'Game Scores'!$B:$I,2+COUNTIF($C$2:E194,C194),FALSE)</f>
        <v/>
      </c>
      <c r="H194" t="str">
        <f>VLOOKUP(RobotGameScores3[[#This Row],[Red Team Number]],'Game Scores'!$B:$I,2+COUNTIF($C$2:E194,E194),FALSE)</f>
        <v/>
      </c>
      <c r="I194" s="50" t="str">
        <f>IF(SUM(RobotGameScores3[[#This Row],[Blue Team Score]:[Red Team Score]])=0,"",SUM(RobotGameScores3[[#This Row],[Blue Team Score]:[Red Team Score]]))</f>
        <v/>
      </c>
      <c r="J194" s="50" t="str">
        <f>IF(RobotGameScores3[[#This Row],[Blue Team Number]]="","",_xlfn.RANK.EQ(RobotGameScores3[[#This Row],[Highest Combined Score]],CombinedMatchScore))</f>
        <v/>
      </c>
    </row>
    <row r="195" spans="1:10" ht="21" customHeight="1" x14ac:dyDescent="0.25">
      <c r="A195">
        <v>194</v>
      </c>
      <c r="C195" s="8"/>
      <c r="D195" s="20"/>
      <c r="F195" s="20"/>
      <c r="G195" t="str">
        <f>VLOOKUP(RobotGameScores3[[#This Row],[Blue Team Number]],'Game Scores'!$B:$I,2+COUNTIF($C$2:E195,C195),FALSE)</f>
        <v/>
      </c>
      <c r="H195" t="str">
        <f>VLOOKUP(RobotGameScores3[[#This Row],[Red Team Number]],'Game Scores'!$B:$I,2+COUNTIF($C$2:E195,E195),FALSE)</f>
        <v/>
      </c>
      <c r="I195" s="50" t="str">
        <f>IF(SUM(RobotGameScores3[[#This Row],[Blue Team Score]:[Red Team Score]])=0,"",SUM(RobotGameScores3[[#This Row],[Blue Team Score]:[Red Team Score]]))</f>
        <v/>
      </c>
      <c r="J195" s="50" t="str">
        <f>IF(RobotGameScores3[[#This Row],[Blue Team Number]]="","",_xlfn.RANK.EQ(RobotGameScores3[[#This Row],[Highest Combined Score]],CombinedMatchScore))</f>
        <v/>
      </c>
    </row>
    <row r="196" spans="1:10" ht="21" customHeight="1" x14ac:dyDescent="0.25">
      <c r="A196">
        <v>195</v>
      </c>
      <c r="C196" s="8"/>
      <c r="D196" s="20"/>
      <c r="F196" s="20"/>
      <c r="G196" t="str">
        <f>VLOOKUP(RobotGameScores3[[#This Row],[Blue Team Number]],'Game Scores'!$B:$I,2+COUNTIF($C$2:E196,C196),FALSE)</f>
        <v/>
      </c>
      <c r="H196" t="str">
        <f>VLOOKUP(RobotGameScores3[[#This Row],[Red Team Number]],'Game Scores'!$B:$I,2+COUNTIF($C$2:E196,E196),FALSE)</f>
        <v/>
      </c>
      <c r="I196" s="50" t="str">
        <f>IF(SUM(RobotGameScores3[[#This Row],[Blue Team Score]:[Red Team Score]])=0,"",SUM(RobotGameScores3[[#This Row],[Blue Team Score]:[Red Team Score]]))</f>
        <v/>
      </c>
      <c r="J196" s="50" t="str">
        <f>IF(RobotGameScores3[[#This Row],[Blue Team Number]]="","",_xlfn.RANK.EQ(RobotGameScores3[[#This Row],[Highest Combined Score]],CombinedMatchScore))</f>
        <v/>
      </c>
    </row>
    <row r="197" spans="1:10" ht="21" customHeight="1" x14ac:dyDescent="0.25">
      <c r="A197">
        <v>196</v>
      </c>
      <c r="C197" s="8"/>
      <c r="D197" s="20"/>
      <c r="F197" s="20"/>
      <c r="G197" t="str">
        <f>VLOOKUP(RobotGameScores3[[#This Row],[Blue Team Number]],'Game Scores'!$B:$I,2+COUNTIF($C$2:E197,C197),FALSE)</f>
        <v/>
      </c>
      <c r="H197" t="str">
        <f>VLOOKUP(RobotGameScores3[[#This Row],[Red Team Number]],'Game Scores'!$B:$I,2+COUNTIF($C$2:E197,E197),FALSE)</f>
        <v/>
      </c>
      <c r="I197" s="50" t="str">
        <f>IF(SUM(RobotGameScores3[[#This Row],[Blue Team Score]:[Red Team Score]])=0,"",SUM(RobotGameScores3[[#This Row],[Blue Team Score]:[Red Team Score]]))</f>
        <v/>
      </c>
      <c r="J197" s="50" t="str">
        <f>IF(RobotGameScores3[[#This Row],[Blue Team Number]]="","",_xlfn.RANK.EQ(RobotGameScores3[[#This Row],[Highest Combined Score]],CombinedMatchScore))</f>
        <v/>
      </c>
    </row>
    <row r="198" spans="1:10" ht="21" customHeight="1" x14ac:dyDescent="0.25">
      <c r="A198">
        <v>197</v>
      </c>
      <c r="C198" s="8"/>
      <c r="D198" s="20"/>
      <c r="F198" s="20"/>
      <c r="G198" t="str">
        <f>VLOOKUP(RobotGameScores3[[#This Row],[Blue Team Number]],'Game Scores'!$B:$I,2+COUNTIF($C$2:E198,C198),FALSE)</f>
        <v/>
      </c>
      <c r="H198" t="str">
        <f>VLOOKUP(RobotGameScores3[[#This Row],[Red Team Number]],'Game Scores'!$B:$I,2+COUNTIF($C$2:E198,E198),FALSE)</f>
        <v/>
      </c>
      <c r="I198" s="50" t="str">
        <f>IF(SUM(RobotGameScores3[[#This Row],[Blue Team Score]:[Red Team Score]])=0,"",SUM(RobotGameScores3[[#This Row],[Blue Team Score]:[Red Team Score]]))</f>
        <v/>
      </c>
      <c r="J198" s="50" t="str">
        <f>IF(RobotGameScores3[[#This Row],[Blue Team Number]]="","",_xlfn.RANK.EQ(RobotGameScores3[[#This Row],[Highest Combined Score]],CombinedMatchScore))</f>
        <v/>
      </c>
    </row>
    <row r="199" spans="1:10" ht="21" customHeight="1" x14ac:dyDescent="0.25">
      <c r="A199">
        <v>198</v>
      </c>
      <c r="C199" s="8"/>
      <c r="D199" s="20"/>
      <c r="F199" s="20"/>
      <c r="G199" t="str">
        <f>VLOOKUP(RobotGameScores3[[#This Row],[Blue Team Number]],'Game Scores'!$B:$I,2+COUNTIF($C$2:E199,C199),FALSE)</f>
        <v/>
      </c>
      <c r="H199" t="str">
        <f>VLOOKUP(RobotGameScores3[[#This Row],[Red Team Number]],'Game Scores'!$B:$I,2+COUNTIF($C$2:E199,E199),FALSE)</f>
        <v/>
      </c>
      <c r="I199" s="50" t="str">
        <f>IF(SUM(RobotGameScores3[[#This Row],[Blue Team Score]:[Red Team Score]])=0,"",SUM(RobotGameScores3[[#This Row],[Blue Team Score]:[Red Team Score]]))</f>
        <v/>
      </c>
      <c r="J199" s="50" t="str">
        <f>IF(RobotGameScores3[[#This Row],[Blue Team Number]]="","",_xlfn.RANK.EQ(RobotGameScores3[[#This Row],[Highest Combined Score]],CombinedMatchScore))</f>
        <v/>
      </c>
    </row>
    <row r="200" spans="1:10" ht="21" customHeight="1" x14ac:dyDescent="0.25">
      <c r="A200">
        <v>199</v>
      </c>
      <c r="C200" s="8"/>
      <c r="D200" s="20"/>
      <c r="F200" s="20"/>
      <c r="G200" t="str">
        <f>VLOOKUP(RobotGameScores3[[#This Row],[Blue Team Number]],'Game Scores'!$B:$I,2+COUNTIF($C$2:E200,C200),FALSE)</f>
        <v/>
      </c>
      <c r="H200" t="str">
        <f>VLOOKUP(RobotGameScores3[[#This Row],[Red Team Number]],'Game Scores'!$B:$I,2+COUNTIF($C$2:E200,E200),FALSE)</f>
        <v/>
      </c>
      <c r="I200" s="50" t="str">
        <f>IF(SUM(RobotGameScores3[[#This Row],[Blue Team Score]:[Red Team Score]])=0,"",SUM(RobotGameScores3[[#This Row],[Blue Team Score]:[Red Team Score]]))</f>
        <v/>
      </c>
      <c r="J200" s="50" t="str">
        <f>IF(RobotGameScores3[[#This Row],[Blue Team Number]]="","",_xlfn.RANK.EQ(RobotGameScores3[[#This Row],[Highest Combined Score]],CombinedMatchScore))</f>
        <v/>
      </c>
    </row>
    <row r="201" spans="1:10" ht="21" customHeight="1" x14ac:dyDescent="0.25">
      <c r="A201">
        <v>200</v>
      </c>
      <c r="C201" s="8"/>
      <c r="D201" s="20"/>
      <c r="G201" t="str">
        <f>VLOOKUP(RobotGameScores3[[#This Row],[Blue Team Number]],'Game Scores'!$B:$I,2+COUNTIF($C$2:E201,C201),FALSE)</f>
        <v/>
      </c>
      <c r="H201" t="str">
        <f>VLOOKUP(RobotGameScores3[[#This Row],[Red Team Number]],'Game Scores'!$B:$I,2+COUNTIF($C$2:E201,E201),FALSE)</f>
        <v/>
      </c>
      <c r="I201" s="50" t="str">
        <f>IF(SUM(RobotGameScores3[[#This Row],[Blue Team Score]:[Red Team Score]])=0,"",SUM(RobotGameScores3[[#This Row],[Blue Team Score]:[Red Team Score]]))</f>
        <v/>
      </c>
      <c r="J201" s="50" t="str">
        <f>IF(RobotGameScores3[[#This Row],[Blue Team Number]]="","",_xlfn.RANK.EQ(RobotGameScores3[[#This Row],[Highest Combined Score]],CombinedMatchScore))</f>
        <v/>
      </c>
    </row>
  </sheetData>
  <sheetProtection algorithmName="SHA-512" hashValue="BBhbh/MZadanvuI28flRZFLQXLmSdCkPtfxN7FvABqams3ZLbJlcQA5T6+NdyCIuWRA2B70+eZSzKWee8xluEw==" saltValue="PkrhNeHt3brSzm4qNhgOgw==" spinCount="100000" sheet="1" objects="1" scenarios="1"/>
  <phoneticPr fontId="27" type="noConversion"/>
  <conditionalFormatting sqref="I1:I201 N202:N1048576">
    <cfRule type="top10" dxfId="4" priority="6" rank="1"/>
  </conditionalFormatting>
  <conditionalFormatting sqref="J1:J1048576">
    <cfRule type="cellIs" dxfId="3" priority="1" operator="equal">
      <formula>3</formula>
    </cfRule>
    <cfRule type="cellIs" dxfId="2" priority="2" operator="equal">
      <formula>2</formula>
    </cfRule>
    <cfRule type="cellIs" dxfId="1" priority="3" operator="equal">
      <formula>1</formula>
    </cfRule>
  </conditionalFormatting>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AEA1F-59F0-4F78-8C2C-31E4CFBDC309}">
  <sheetPr>
    <tabColor theme="1"/>
  </sheetPr>
  <dimension ref="A1:W201"/>
  <sheetViews>
    <sheetView showGridLines="0" workbookViewId="0">
      <selection activeCell="S10" sqref="S10"/>
    </sheetView>
  </sheetViews>
  <sheetFormatPr defaultRowHeight="15" outlineLevelCol="1" x14ac:dyDescent="0.25"/>
  <cols>
    <col min="1" max="1" width="15.42578125" customWidth="1"/>
    <col min="2" max="2" width="32.42578125" customWidth="1"/>
    <col min="3" max="10" width="5.85546875" hidden="1" customWidth="1" outlineLevel="1"/>
    <col min="11" max="11" width="7.42578125" customWidth="1" collapsed="1"/>
    <col min="12" max="13" width="7.42578125" customWidth="1"/>
    <col min="14" max="18" width="7.42578125" customWidth="1" outlineLevel="1"/>
    <col min="19" max="19" width="7.42578125" customWidth="1"/>
    <col min="20" max="20" width="10.42578125" customWidth="1"/>
    <col min="21" max="21" width="15.42578125" customWidth="1"/>
    <col min="22" max="23" width="10.42578125" customWidth="1"/>
  </cols>
  <sheetData>
    <row r="1" spans="1:23" ht="198" customHeight="1" x14ac:dyDescent="0.25">
      <c r="A1" s="67" t="s">
        <v>12</v>
      </c>
      <c r="B1" s="65" t="s">
        <v>13</v>
      </c>
      <c r="C1" s="61" t="s">
        <v>97</v>
      </c>
      <c r="D1" s="61" t="s">
        <v>98</v>
      </c>
      <c r="E1" s="61" t="s">
        <v>99</v>
      </c>
      <c r="F1" s="61" t="s">
        <v>100</v>
      </c>
      <c r="G1" s="61" t="s">
        <v>101</v>
      </c>
      <c r="H1" s="61" t="s">
        <v>102</v>
      </c>
      <c r="I1" s="61" t="s">
        <v>103</v>
      </c>
      <c r="J1" s="61" t="s">
        <v>104</v>
      </c>
      <c r="K1" s="62" t="s">
        <v>39</v>
      </c>
      <c r="L1" s="62" t="s">
        <v>40</v>
      </c>
      <c r="M1" s="62" t="s">
        <v>41</v>
      </c>
      <c r="N1" s="62" t="s">
        <v>42</v>
      </c>
      <c r="O1" s="62" t="s">
        <v>43</v>
      </c>
      <c r="P1" s="62" t="s">
        <v>82</v>
      </c>
      <c r="Q1" s="63" t="s">
        <v>44</v>
      </c>
      <c r="R1" s="63" t="s">
        <v>45</v>
      </c>
      <c r="S1" s="63" t="s">
        <v>46</v>
      </c>
      <c r="T1" s="62" t="s">
        <v>35</v>
      </c>
      <c r="U1" s="62" t="s">
        <v>28</v>
      </c>
      <c r="V1" s="64" t="s">
        <v>81</v>
      </c>
      <c r="W1" s="64" t="s">
        <v>47</v>
      </c>
    </row>
    <row r="2" spans="1:23" ht="30" customHeight="1" x14ac:dyDescent="0.25">
      <c r="A2" s="8">
        <f>(_xlfn.XLOOKUP(1,OfficialTeamList[Row],OfficialTeamList[Team Number],"ERROR",0))+0</f>
        <v>1234</v>
      </c>
      <c r="B2" s="20" t="str">
        <f>_xlfn.XLOOKUP(CoreValuesResults[[#This Row],[Team Number]],OfficialTeamList[Team Number],OfficialTeamList[Team Name],"",0,)</f>
        <v>Team 1</v>
      </c>
      <c r="C2" s="66">
        <f>_xlfn.XLOOKUP(CoreValuesResults[[#This Row],[Team Number]],InnovationProjectResults[Team Number],InnovationProjectResults[Explore 2 (CV)])</f>
        <v>2</v>
      </c>
      <c r="D2" s="66">
        <f>_xlfn.XLOOKUP(CoreValuesResults[[#This Row],[Team Number]],InnovationProjectResults[Team Number],InnovationProjectResults[Ideate 3 (CV)])</f>
        <v>5</v>
      </c>
      <c r="E2" s="66">
        <f>_xlfn.XLOOKUP(CoreValuesResults[[#This Row],[Team Number]],InnovationProjectResults[Team Number],InnovationProjectResults[Implement 1 (CV)])</f>
        <v>6</v>
      </c>
      <c r="F2" s="66">
        <f>_xlfn.XLOOKUP(CoreValuesResults[[#This Row],[Team Number]],InnovationProjectResults[Team Number],InnovationProjectResults[Communicate 2 (CV)])</f>
        <v>10</v>
      </c>
      <c r="G2" s="66">
        <f>_xlfn.XLOOKUP(CoreValuesResults[[#This Row],[Team Number]],RobotDesignResults[Team Number],RobotDesignResults[Identify 2 (CV)])</f>
        <v>2</v>
      </c>
      <c r="H2" s="66">
        <f>_xlfn.XLOOKUP(CoreValuesResults[[#This Row],[Team Number]],RobotDesignResults[Team Number],RobotDesignResults[Iterate 3 (CV)])</f>
        <v>8</v>
      </c>
      <c r="I2" s="66">
        <f>_xlfn.XLOOKUP(CoreValuesResults[[#This Row],[Team Number]],RobotDesignResults[Team Number],RobotDesignResults[Communicate 1 (CV)])</f>
        <v>9</v>
      </c>
      <c r="J2" s="66">
        <f>_xlfn.XLOOKUP(CoreValuesResults[[#This Row],[Team Number]],RobotDesignResults[Team Number],RobotDesignResults[Communicate 2 (CV)])</f>
        <v>10</v>
      </c>
      <c r="K2" s="12">
        <v>1</v>
      </c>
      <c r="L2" s="12">
        <v>1</v>
      </c>
      <c r="M2" s="12">
        <v>1</v>
      </c>
      <c r="N2" s="12"/>
      <c r="O2" s="12"/>
      <c r="P2" s="12"/>
      <c r="Q2" s="8">
        <f>IF(CoreValuesResults[[#This Row],[Gracious Professionalism 1]]="","",COUNTIF(CoreValuesResults[[#This Row],[Gracious Professionalism 1]:[Gracious Professionalism 5]],""))</f>
        <v>2</v>
      </c>
      <c r="R2" s="8">
        <f>IF(CoreValuesResults[[#This Row],[Gracious Professionalism 1]]="","",SUM(CoreValuesResults[[#This Row],[Gracious Professionalism 1]:[Gracious Professionalism 5]]))</f>
        <v>3</v>
      </c>
      <c r="S2" s="8">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3</v>
      </c>
      <c r="T2" s="34">
        <f>SUM(CoreValuesResults[[#This Row],[Project CV 1 - EXPLORE]:[Engineering CV 4 - COMMUNINCATE]],CoreValuesResults[[#This Row],[Gracious Professionalism Score]])</f>
        <v>55</v>
      </c>
      <c r="U2" s="21">
        <f>IF(CoreValuesResults[[#This Row],[Team Number]]&gt;0,MIN(_xlfn.RANK.EQ(CoreValuesResults[[#This Row],[Core Values Score]],CoreValuesResults[Core Values Score],0),NumberOfTeams),NumberOfTeams+1)</f>
        <v>1</v>
      </c>
      <c r="V2" s="35" t="b">
        <v>1</v>
      </c>
      <c r="W2" s="35"/>
    </row>
    <row r="3" spans="1:23" ht="30" customHeight="1" x14ac:dyDescent="0.25">
      <c r="A3" s="8">
        <f>(_xlfn.XLOOKUP(2,OfficialTeamList[Row],OfficialTeamList[Team Number],"ERROR",0))+0</f>
        <v>2345</v>
      </c>
      <c r="B3" s="20" t="str">
        <f>_xlfn.XLOOKUP(CoreValuesResults[[#This Row],[Team Number]],OfficialTeamList[Team Number],OfficialTeamList[Team Name],"",0,)</f>
        <v>Team 2</v>
      </c>
      <c r="C3" s="66">
        <f>_xlfn.XLOOKUP(CoreValuesResults[[#This Row],[Team Number]],InnovationProjectResults[Team Number],InnovationProjectResults[Explore 2 (CV)])</f>
        <v>2</v>
      </c>
      <c r="D3" s="66">
        <f>_xlfn.XLOOKUP(CoreValuesResults[[#This Row],[Team Number]],InnovationProjectResults[Team Number],InnovationProjectResults[Ideate 3 (CV)])</f>
        <v>4</v>
      </c>
      <c r="E3" s="66">
        <f>_xlfn.XLOOKUP(CoreValuesResults[[#This Row],[Team Number]],InnovationProjectResults[Team Number],InnovationProjectResults[Implement 1 (CV)])</f>
        <v>3</v>
      </c>
      <c r="F3" s="66">
        <f>_xlfn.XLOOKUP(CoreValuesResults[[#This Row],[Team Number]],InnovationProjectResults[Team Number],InnovationProjectResults[Communicate 2 (CV)])</f>
        <v>1</v>
      </c>
      <c r="G3" s="66">
        <f>_xlfn.XLOOKUP(CoreValuesResults[[#This Row],[Team Number]],RobotDesignResults[Team Number],RobotDesignResults[Identify 2 (CV)])</f>
        <v>2</v>
      </c>
      <c r="H3" s="66">
        <f>_xlfn.XLOOKUP(CoreValuesResults[[#This Row],[Team Number]],RobotDesignResults[Team Number],RobotDesignResults[Iterate 3 (CV)])</f>
        <v>2</v>
      </c>
      <c r="I3" s="66">
        <f>_xlfn.XLOOKUP(CoreValuesResults[[#This Row],[Team Number]],RobotDesignResults[Team Number],RobotDesignResults[Communicate 1 (CV)])</f>
        <v>2</v>
      </c>
      <c r="J3" s="66">
        <f>_xlfn.XLOOKUP(CoreValuesResults[[#This Row],[Team Number]],RobotDesignResults[Team Number],RobotDesignResults[Communicate 2 (CV)])</f>
        <v>2</v>
      </c>
      <c r="K3" s="12">
        <v>1</v>
      </c>
      <c r="L3" s="12">
        <v>1</v>
      </c>
      <c r="M3" s="12">
        <v>1</v>
      </c>
      <c r="N3" s="12"/>
      <c r="O3" s="12"/>
      <c r="P3" s="12"/>
      <c r="Q3" s="8">
        <f>IF(CoreValuesResults[[#This Row],[Gracious Professionalism 1]]="","",COUNTIF(CoreValuesResults[[#This Row],[Gracious Professionalism 1]:[Gracious Professionalism 5]],""))</f>
        <v>2</v>
      </c>
      <c r="R3" s="8">
        <f>IF(CoreValuesResults[[#This Row],[Gracious Professionalism 1]]="","",SUM(CoreValuesResults[[#This Row],[Gracious Professionalism 1]:[Gracious Professionalism 5]]))</f>
        <v>3</v>
      </c>
      <c r="S3" s="8">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3</v>
      </c>
      <c r="T3" s="34">
        <f>SUM(CoreValuesResults[[#This Row],[Project CV 1 - EXPLORE]:[Engineering CV 4 - COMMUNINCATE]],CoreValuesResults[[#This Row],[Gracious Professionalism Score]])</f>
        <v>21</v>
      </c>
      <c r="U3" s="21">
        <f>IF(CoreValuesResults[[#This Row],[Team Number]]&gt;0,MIN(_xlfn.RANK.EQ(CoreValuesResults[[#This Row],[Core Values Score]],CoreValuesResults[Core Values Score],0),NumberOfTeams),NumberOfTeams+1)</f>
        <v>7</v>
      </c>
      <c r="V3" s="35"/>
      <c r="W3" s="35"/>
    </row>
    <row r="4" spans="1:23" ht="30" customHeight="1" x14ac:dyDescent="0.25">
      <c r="A4" s="8">
        <f>(_xlfn.XLOOKUP(3,OfficialTeamList[Row],OfficialTeamList[Team Number],"ERROR",0))+0</f>
        <v>3456</v>
      </c>
      <c r="B4" s="20" t="str">
        <f>_xlfn.XLOOKUP(CoreValuesResults[[#This Row],[Team Number]],OfficialTeamList[Team Number],OfficialTeamList[Team Name],"",0,)</f>
        <v>Team 3</v>
      </c>
      <c r="C4" s="66">
        <f>_xlfn.XLOOKUP(CoreValuesResults[[#This Row],[Team Number]],InnovationProjectResults[Team Number],InnovationProjectResults[Explore 2 (CV)])</f>
        <v>3</v>
      </c>
      <c r="D4" s="66">
        <f>_xlfn.XLOOKUP(CoreValuesResults[[#This Row],[Team Number]],InnovationProjectResults[Team Number],InnovationProjectResults[Ideate 3 (CV)])</f>
        <v>3</v>
      </c>
      <c r="E4" s="66">
        <f>_xlfn.XLOOKUP(CoreValuesResults[[#This Row],[Team Number]],InnovationProjectResults[Team Number],InnovationProjectResults[Implement 1 (CV)])</f>
        <v>4</v>
      </c>
      <c r="F4" s="66">
        <f>_xlfn.XLOOKUP(CoreValuesResults[[#This Row],[Team Number]],InnovationProjectResults[Team Number],InnovationProjectResults[Communicate 2 (CV)])</f>
        <v>2</v>
      </c>
      <c r="G4" s="66">
        <f>_xlfn.XLOOKUP(CoreValuesResults[[#This Row],[Team Number]],RobotDesignResults[Team Number],RobotDesignResults[Identify 2 (CV)])</f>
        <v>3</v>
      </c>
      <c r="H4" s="66">
        <f>_xlfn.XLOOKUP(CoreValuesResults[[#This Row],[Team Number]],RobotDesignResults[Team Number],RobotDesignResults[Iterate 3 (CV)])</f>
        <v>3</v>
      </c>
      <c r="I4" s="66">
        <f>_xlfn.XLOOKUP(CoreValuesResults[[#This Row],[Team Number]],RobotDesignResults[Team Number],RobotDesignResults[Communicate 1 (CV)])</f>
        <v>3</v>
      </c>
      <c r="J4" s="66">
        <f>_xlfn.XLOOKUP(CoreValuesResults[[#This Row],[Team Number]],RobotDesignResults[Team Number],RobotDesignResults[Communicate 2 (CV)])</f>
        <v>3</v>
      </c>
      <c r="K4" s="12">
        <v>1</v>
      </c>
      <c r="L4" s="12">
        <v>1</v>
      </c>
      <c r="M4" s="12">
        <v>1</v>
      </c>
      <c r="N4" s="12"/>
      <c r="O4" s="12"/>
      <c r="P4" s="12"/>
      <c r="Q4" s="8">
        <f>IF(CoreValuesResults[[#This Row],[Gracious Professionalism 1]]="","",COUNTIF(CoreValuesResults[[#This Row],[Gracious Professionalism 1]:[Gracious Professionalism 5]],""))</f>
        <v>2</v>
      </c>
      <c r="R4" s="8">
        <f>IF(CoreValuesResults[[#This Row],[Gracious Professionalism 1]]="","",SUM(CoreValuesResults[[#This Row],[Gracious Professionalism 1]:[Gracious Professionalism 5]]))</f>
        <v>3</v>
      </c>
      <c r="S4" s="8">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3</v>
      </c>
      <c r="T4" s="34">
        <f>SUM(CoreValuesResults[[#This Row],[Project CV 1 - EXPLORE]:[Engineering CV 4 - COMMUNINCATE]],CoreValuesResults[[#This Row],[Gracious Professionalism Score]])</f>
        <v>27</v>
      </c>
      <c r="U4" s="21">
        <f>IF(CoreValuesResults[[#This Row],[Team Number]]&gt;0,MIN(_xlfn.RANK.EQ(CoreValuesResults[[#This Row],[Core Values Score]],CoreValuesResults[Core Values Score],0),NumberOfTeams),NumberOfTeams+1)</f>
        <v>4</v>
      </c>
      <c r="V4" s="35"/>
      <c r="W4" s="35" t="b">
        <v>1</v>
      </c>
    </row>
    <row r="5" spans="1:23" ht="30" customHeight="1" x14ac:dyDescent="0.25">
      <c r="A5" s="8">
        <f>_xlfn.XLOOKUP(4,OfficialTeamList[Row],OfficialTeamList[Team Number],"ERROR",0)</f>
        <v>235</v>
      </c>
      <c r="B5" s="20" t="str">
        <f>_xlfn.XLOOKUP(CoreValuesResults[[#This Row],[Team Number]],OfficialTeamList[Team Number],OfficialTeamList[Team Name],"",0,)</f>
        <v>Team 4</v>
      </c>
      <c r="C5" s="66">
        <f>_xlfn.XLOOKUP(CoreValuesResults[[#This Row],[Team Number]],InnovationProjectResults[Team Number],InnovationProjectResults[Explore 2 (CV)])</f>
        <v>4</v>
      </c>
      <c r="D5" s="66">
        <f>_xlfn.XLOOKUP(CoreValuesResults[[#This Row],[Team Number]],InnovationProjectResults[Team Number],InnovationProjectResults[Ideate 3 (CV)])</f>
        <v>4</v>
      </c>
      <c r="E5" s="66">
        <f>_xlfn.XLOOKUP(CoreValuesResults[[#This Row],[Team Number]],InnovationProjectResults[Team Number],InnovationProjectResults[Implement 1 (CV)])</f>
        <v>1</v>
      </c>
      <c r="F5" s="66">
        <f>_xlfn.XLOOKUP(CoreValuesResults[[#This Row],[Team Number]],InnovationProjectResults[Team Number],InnovationProjectResults[Communicate 2 (CV)])</f>
        <v>4</v>
      </c>
      <c r="G5" s="66">
        <f>_xlfn.XLOOKUP(CoreValuesResults[[#This Row],[Team Number]],RobotDesignResults[Team Number],RobotDesignResults[Identify 2 (CV)])</f>
        <v>4</v>
      </c>
      <c r="H5" s="66">
        <f>_xlfn.XLOOKUP(CoreValuesResults[[#This Row],[Team Number]],RobotDesignResults[Team Number],RobotDesignResults[Iterate 3 (CV)])</f>
        <v>4</v>
      </c>
      <c r="I5" s="66">
        <f>_xlfn.XLOOKUP(CoreValuesResults[[#This Row],[Team Number]],RobotDesignResults[Team Number],RobotDesignResults[Communicate 1 (CV)])</f>
        <v>4</v>
      </c>
      <c r="J5" s="66">
        <f>_xlfn.XLOOKUP(CoreValuesResults[[#This Row],[Team Number]],RobotDesignResults[Team Number],RobotDesignResults[Communicate 2 (CV)])</f>
        <v>4</v>
      </c>
      <c r="K5" s="12">
        <v>1</v>
      </c>
      <c r="L5" s="12">
        <v>1</v>
      </c>
      <c r="M5" s="12">
        <v>1</v>
      </c>
      <c r="N5" s="12"/>
      <c r="O5" s="12"/>
      <c r="P5" s="12"/>
      <c r="Q5" s="8">
        <f>IF(CoreValuesResults[[#This Row],[Gracious Professionalism 1]]="","",COUNTIF(CoreValuesResults[[#This Row],[Gracious Professionalism 1]:[Gracious Professionalism 5]],""))</f>
        <v>2</v>
      </c>
      <c r="R5" s="8">
        <f>IF(CoreValuesResults[[#This Row],[Gracious Professionalism 1]]="","",SUM(CoreValuesResults[[#This Row],[Gracious Professionalism 1]:[Gracious Professionalism 5]]))</f>
        <v>3</v>
      </c>
      <c r="S5" s="8">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3</v>
      </c>
      <c r="T5" s="34">
        <f>SUM(CoreValuesResults[[#This Row],[Project CV 1 - EXPLORE]:[Engineering CV 4 - COMMUNINCATE]],CoreValuesResults[[#This Row],[Gracious Professionalism Score]])</f>
        <v>32</v>
      </c>
      <c r="U5" s="21">
        <f>IF(CoreValuesResults[[#This Row],[Team Number]]&gt;0,MIN(_xlfn.RANK.EQ(CoreValuesResults[[#This Row],[Core Values Score]],CoreValuesResults[Core Values Score],0),NumberOfTeams),NumberOfTeams+1)</f>
        <v>2</v>
      </c>
      <c r="V5" s="35"/>
      <c r="W5" s="35"/>
    </row>
    <row r="6" spans="1:23" ht="30" customHeight="1" x14ac:dyDescent="0.25">
      <c r="A6" s="8">
        <f>_xlfn.XLOOKUP(5,OfficialTeamList[Row],OfficialTeamList[Team Number],"ERROR",0)</f>
        <v>1232</v>
      </c>
      <c r="B6" s="20" t="str">
        <f>_xlfn.XLOOKUP(CoreValuesResults[[#This Row],[Team Number]],OfficialTeamList[Team Number],OfficialTeamList[Team Name],"",0,)</f>
        <v>Team 5</v>
      </c>
      <c r="C6" s="66">
        <f>_xlfn.XLOOKUP(CoreValuesResults[[#This Row],[Team Number]],InnovationProjectResults[Team Number],InnovationProjectResults[Explore 2 (CV)])</f>
        <v>2</v>
      </c>
      <c r="D6" s="66">
        <f>_xlfn.XLOOKUP(CoreValuesResults[[#This Row],[Team Number]],InnovationProjectResults[Team Number],InnovationProjectResults[Ideate 3 (CV)])</f>
        <v>4</v>
      </c>
      <c r="E6" s="66">
        <f>_xlfn.XLOOKUP(CoreValuesResults[[#This Row],[Team Number]],InnovationProjectResults[Team Number],InnovationProjectResults[Implement 1 (CV)])</f>
        <v>3</v>
      </c>
      <c r="F6" s="66">
        <f>_xlfn.XLOOKUP(CoreValuesResults[[#This Row],[Team Number]],InnovationProjectResults[Team Number],InnovationProjectResults[Communicate 2 (CV)])</f>
        <v>4</v>
      </c>
      <c r="G6" s="66">
        <f>_xlfn.XLOOKUP(CoreValuesResults[[#This Row],[Team Number]],RobotDesignResults[Team Number],RobotDesignResults[Identify 2 (CV)])</f>
        <v>2</v>
      </c>
      <c r="H6" s="66">
        <f>_xlfn.XLOOKUP(CoreValuesResults[[#This Row],[Team Number]],RobotDesignResults[Team Number],RobotDesignResults[Iterate 3 (CV)])</f>
        <v>2</v>
      </c>
      <c r="I6" s="66">
        <f>_xlfn.XLOOKUP(CoreValuesResults[[#This Row],[Team Number]],RobotDesignResults[Team Number],RobotDesignResults[Communicate 1 (CV)])</f>
        <v>2</v>
      </c>
      <c r="J6" s="66">
        <f>_xlfn.XLOOKUP(CoreValuesResults[[#This Row],[Team Number]],RobotDesignResults[Team Number],RobotDesignResults[Communicate 2 (CV)])</f>
        <v>2</v>
      </c>
      <c r="K6" s="12">
        <v>1</v>
      </c>
      <c r="L6" s="12">
        <v>1</v>
      </c>
      <c r="M6" s="12">
        <v>1</v>
      </c>
      <c r="N6" s="12"/>
      <c r="O6" s="12"/>
      <c r="P6" s="12"/>
      <c r="Q6" s="8">
        <f>IF(CoreValuesResults[[#This Row],[Gracious Professionalism 1]]="","",COUNTIF(CoreValuesResults[[#This Row],[Gracious Professionalism 1]:[Gracious Professionalism 5]],""))</f>
        <v>2</v>
      </c>
      <c r="R6" s="8">
        <f>IF(CoreValuesResults[[#This Row],[Gracious Professionalism 1]]="","",SUM(CoreValuesResults[[#This Row],[Gracious Professionalism 1]:[Gracious Professionalism 5]]))</f>
        <v>3</v>
      </c>
      <c r="S6" s="8">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3</v>
      </c>
      <c r="T6" s="34">
        <f>SUM(CoreValuesResults[[#This Row],[Project CV 1 - EXPLORE]:[Engineering CV 4 - COMMUNINCATE]],CoreValuesResults[[#This Row],[Gracious Professionalism Score]])</f>
        <v>24</v>
      </c>
      <c r="U6" s="21">
        <f>IF(CoreValuesResults[[#This Row],[Team Number]]&gt;0,MIN(_xlfn.RANK.EQ(CoreValuesResults[[#This Row],[Core Values Score]],CoreValuesResults[Core Values Score],0),NumberOfTeams),NumberOfTeams+1)</f>
        <v>5</v>
      </c>
      <c r="V6" s="35"/>
      <c r="W6" s="35"/>
    </row>
    <row r="7" spans="1:23" ht="30" customHeight="1" x14ac:dyDescent="0.25">
      <c r="A7" s="8">
        <f>_xlfn.XLOOKUP(6,OfficialTeamList[Row],OfficialTeamList[Team Number],"ERROR",0)</f>
        <v>6262</v>
      </c>
      <c r="B7" s="20" t="str">
        <f>_xlfn.XLOOKUP(CoreValuesResults[[#This Row],[Team Number]],OfficialTeamList[Team Number],OfficialTeamList[Team Name],"",0,)</f>
        <v>Team 6</v>
      </c>
      <c r="C7" s="66">
        <f>_xlfn.XLOOKUP(CoreValuesResults[[#This Row],[Team Number]],InnovationProjectResults[Team Number],InnovationProjectResults[Explore 2 (CV)])</f>
        <v>3</v>
      </c>
      <c r="D7" s="66">
        <f>_xlfn.XLOOKUP(CoreValuesResults[[#This Row],[Team Number]],InnovationProjectResults[Team Number],InnovationProjectResults[Ideate 3 (CV)])</f>
        <v>3</v>
      </c>
      <c r="E7" s="66">
        <f>_xlfn.XLOOKUP(CoreValuesResults[[#This Row],[Team Number]],InnovationProjectResults[Team Number],InnovationProjectResults[Implement 1 (CV)])</f>
        <v>2</v>
      </c>
      <c r="F7" s="66">
        <f>_xlfn.XLOOKUP(CoreValuesResults[[#This Row],[Team Number]],InnovationProjectResults[Team Number],InnovationProjectResults[Communicate 2 (CV)])</f>
        <v>2</v>
      </c>
      <c r="G7" s="66">
        <f>_xlfn.XLOOKUP(CoreValuesResults[[#This Row],[Team Number]],RobotDesignResults[Team Number],RobotDesignResults[Identify 2 (CV)])</f>
        <v>3</v>
      </c>
      <c r="H7" s="66">
        <f>_xlfn.XLOOKUP(CoreValuesResults[[#This Row],[Team Number]],RobotDesignResults[Team Number],RobotDesignResults[Iterate 3 (CV)])</f>
        <v>3</v>
      </c>
      <c r="I7" s="66">
        <f>_xlfn.XLOOKUP(CoreValuesResults[[#This Row],[Team Number]],RobotDesignResults[Team Number],RobotDesignResults[Communicate 1 (CV)])</f>
        <v>1</v>
      </c>
      <c r="J7" s="66">
        <f>_xlfn.XLOOKUP(CoreValuesResults[[#This Row],[Team Number]],RobotDesignResults[Team Number],RobotDesignResults[Communicate 2 (CV)])</f>
        <v>3</v>
      </c>
      <c r="K7" s="12">
        <v>1</v>
      </c>
      <c r="L7" s="12">
        <v>1</v>
      </c>
      <c r="M7" s="12">
        <v>1</v>
      </c>
      <c r="N7" s="12"/>
      <c r="O7" s="12"/>
      <c r="P7" s="12"/>
      <c r="Q7" s="8">
        <f>IF(CoreValuesResults[[#This Row],[Gracious Professionalism 1]]="","",COUNTIF(CoreValuesResults[[#This Row],[Gracious Professionalism 1]:[Gracious Professionalism 5]],""))</f>
        <v>2</v>
      </c>
      <c r="R7" s="8">
        <f>IF(CoreValuesResults[[#This Row],[Gracious Professionalism 1]]="","",SUM(CoreValuesResults[[#This Row],[Gracious Professionalism 1]:[Gracious Professionalism 5]]))</f>
        <v>3</v>
      </c>
      <c r="S7" s="8">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3</v>
      </c>
      <c r="T7" s="34">
        <f>SUM(CoreValuesResults[[#This Row],[Project CV 1 - EXPLORE]:[Engineering CV 4 - COMMUNINCATE]],CoreValuesResults[[#This Row],[Gracious Professionalism Score]])</f>
        <v>23</v>
      </c>
      <c r="U7" s="21">
        <f>IF(CoreValuesResults[[#This Row],[Team Number]]&gt;0,MIN(_xlfn.RANK.EQ(CoreValuesResults[[#This Row],[Core Values Score]],CoreValuesResults[Core Values Score],0),NumberOfTeams),NumberOfTeams+1)</f>
        <v>6</v>
      </c>
      <c r="V7" s="35"/>
      <c r="W7" s="35"/>
    </row>
    <row r="8" spans="1:23" ht="30" customHeight="1" x14ac:dyDescent="0.25">
      <c r="A8" s="8">
        <f>_xlfn.XLOOKUP(7,OfficialTeamList[Row],OfficialTeamList[Team Number],"ERROR",0)</f>
        <v>46844</v>
      </c>
      <c r="B8" s="20" t="str">
        <f>_xlfn.XLOOKUP(CoreValuesResults[[#This Row],[Team Number]],OfficialTeamList[Team Number],OfficialTeamList[Team Name],"",0,)</f>
        <v>Team 7</v>
      </c>
      <c r="C8" s="66">
        <f>_xlfn.XLOOKUP(CoreValuesResults[[#This Row],[Team Number]],InnovationProjectResults[Team Number],InnovationProjectResults[Explore 2 (CV)])</f>
        <v>4</v>
      </c>
      <c r="D8" s="66">
        <f>_xlfn.XLOOKUP(CoreValuesResults[[#This Row],[Team Number]],InnovationProjectResults[Team Number],InnovationProjectResults[Ideate 3 (CV)])</f>
        <v>3</v>
      </c>
      <c r="E8" s="66">
        <f>_xlfn.XLOOKUP(CoreValuesResults[[#This Row],[Team Number]],InnovationProjectResults[Team Number],InnovationProjectResults[Implement 1 (CV)])</f>
        <v>3</v>
      </c>
      <c r="F8" s="66">
        <f>_xlfn.XLOOKUP(CoreValuesResults[[#This Row],[Team Number]],InnovationProjectResults[Team Number],InnovationProjectResults[Communicate 2 (CV)])</f>
        <v>3</v>
      </c>
      <c r="G8" s="66">
        <f>_xlfn.XLOOKUP(CoreValuesResults[[#This Row],[Team Number]],RobotDesignResults[Team Number],RobotDesignResults[Identify 2 (CV)])</f>
        <v>4</v>
      </c>
      <c r="H8" s="66">
        <f>_xlfn.XLOOKUP(CoreValuesResults[[#This Row],[Team Number]],RobotDesignResults[Team Number],RobotDesignResults[Iterate 3 (CV)])</f>
        <v>4</v>
      </c>
      <c r="I8" s="66">
        <f>_xlfn.XLOOKUP(CoreValuesResults[[#This Row],[Team Number]],RobotDesignResults[Team Number],RobotDesignResults[Communicate 1 (CV)])</f>
        <v>2</v>
      </c>
      <c r="J8" s="66">
        <f>_xlfn.XLOOKUP(CoreValuesResults[[#This Row],[Team Number]],RobotDesignResults[Team Number],RobotDesignResults[Communicate 2 (CV)])</f>
        <v>4</v>
      </c>
      <c r="K8" s="12">
        <v>1</v>
      </c>
      <c r="L8" s="12">
        <v>1</v>
      </c>
      <c r="M8" s="12">
        <v>1</v>
      </c>
      <c r="N8" s="12"/>
      <c r="O8" s="12"/>
      <c r="P8" s="12"/>
      <c r="Q8" s="8">
        <f>IF(CoreValuesResults[[#This Row],[Gracious Professionalism 1]]="","",COUNTIF(CoreValuesResults[[#This Row],[Gracious Professionalism 1]:[Gracious Professionalism 5]],""))</f>
        <v>2</v>
      </c>
      <c r="R8" s="8">
        <f>IF(CoreValuesResults[[#This Row],[Gracious Professionalism 1]]="","",SUM(CoreValuesResults[[#This Row],[Gracious Professionalism 1]:[Gracious Professionalism 5]]))</f>
        <v>3</v>
      </c>
      <c r="S8" s="8">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3</v>
      </c>
      <c r="T8" s="34">
        <f>SUM(CoreValuesResults[[#This Row],[Project CV 1 - EXPLORE]:[Engineering CV 4 - COMMUNINCATE]],CoreValuesResults[[#This Row],[Gracious Professionalism Score]])</f>
        <v>30</v>
      </c>
      <c r="U8" s="21">
        <f>IF(CoreValuesResults[[#This Row],[Team Number]]&gt;0,MIN(_xlfn.RANK.EQ(CoreValuesResults[[#This Row],[Core Values Score]],CoreValuesResults[Core Values Score],0),NumberOfTeams),NumberOfTeams+1)</f>
        <v>3</v>
      </c>
      <c r="V8" s="35"/>
      <c r="W8" s="35"/>
    </row>
    <row r="9" spans="1:23" ht="30" customHeight="1" x14ac:dyDescent="0.25">
      <c r="A9" s="8">
        <f>_xlfn.XLOOKUP(8,OfficialTeamList[Row],OfficialTeamList[Team Number],"ERROR",0)</f>
        <v>26466</v>
      </c>
      <c r="B9" s="20" t="str">
        <f>_xlfn.XLOOKUP(CoreValuesResults[[#This Row],[Team Number]],OfficialTeamList[Team Number],OfficialTeamList[Team Name],"",0,)</f>
        <v>Team 8</v>
      </c>
      <c r="C9" s="66">
        <f>_xlfn.XLOOKUP(CoreValuesResults[[#This Row],[Team Number]],InnovationProjectResults[Team Number],InnovationProjectResults[Explore 2 (CV)])</f>
        <v>1</v>
      </c>
      <c r="D9" s="66">
        <f>_xlfn.XLOOKUP(CoreValuesResults[[#This Row],[Team Number]],InnovationProjectResults[Team Number],InnovationProjectResults[Ideate 3 (CV)])</f>
        <v>2</v>
      </c>
      <c r="E9" s="66">
        <f>_xlfn.XLOOKUP(CoreValuesResults[[#This Row],[Team Number]],InnovationProjectResults[Team Number],InnovationProjectResults[Implement 1 (CV)])</f>
        <v>4</v>
      </c>
      <c r="F9" s="66">
        <f>_xlfn.XLOOKUP(CoreValuesResults[[#This Row],[Team Number]],InnovationProjectResults[Team Number],InnovationProjectResults[Communicate 2 (CV)])</f>
        <v>4</v>
      </c>
      <c r="G9" s="66">
        <f>_xlfn.XLOOKUP(CoreValuesResults[[#This Row],[Team Number]],RobotDesignResults[Team Number],RobotDesignResults[Identify 2 (CV)])</f>
        <v>1</v>
      </c>
      <c r="H9" s="66">
        <f>_xlfn.XLOOKUP(CoreValuesResults[[#This Row],[Team Number]],RobotDesignResults[Team Number],RobotDesignResults[Iterate 3 (CV)])</f>
        <v>1</v>
      </c>
      <c r="I9" s="66">
        <f>_xlfn.XLOOKUP(CoreValuesResults[[#This Row],[Team Number]],RobotDesignResults[Team Number],RobotDesignResults[Communicate 1 (CV)])</f>
        <v>4</v>
      </c>
      <c r="J9" s="66">
        <f>_xlfn.XLOOKUP(CoreValuesResults[[#This Row],[Team Number]],RobotDesignResults[Team Number],RobotDesignResults[Communicate 2 (CV)])</f>
        <v>1</v>
      </c>
      <c r="K9" s="12">
        <v>1</v>
      </c>
      <c r="L9" s="12">
        <v>1</v>
      </c>
      <c r="M9" s="12">
        <v>1</v>
      </c>
      <c r="N9" s="12"/>
      <c r="O9" s="12"/>
      <c r="P9" s="12"/>
      <c r="Q9" s="8">
        <f>IF(CoreValuesResults[[#This Row],[Gracious Professionalism 1]]="","",COUNTIF(CoreValuesResults[[#This Row],[Gracious Professionalism 1]:[Gracious Professionalism 5]],""))</f>
        <v>2</v>
      </c>
      <c r="R9" s="8">
        <f>IF(CoreValuesResults[[#This Row],[Gracious Professionalism 1]]="","",SUM(CoreValuesResults[[#This Row],[Gracious Professionalism 1]:[Gracious Professionalism 5]]))</f>
        <v>3</v>
      </c>
      <c r="S9" s="8">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3</v>
      </c>
      <c r="T9" s="34">
        <f>SUM(CoreValuesResults[[#This Row],[Project CV 1 - EXPLORE]:[Engineering CV 4 - COMMUNINCATE]],CoreValuesResults[[#This Row],[Gracious Professionalism Score]])</f>
        <v>21</v>
      </c>
      <c r="U9" s="21">
        <f>IF(CoreValuesResults[[#This Row],[Team Number]]&gt;0,MIN(_xlfn.RANK.EQ(CoreValuesResults[[#This Row],[Core Values Score]],CoreValuesResults[Core Values Score],0),NumberOfTeams),NumberOfTeams+1)</f>
        <v>7</v>
      </c>
      <c r="V9" s="35"/>
      <c r="W9" s="35"/>
    </row>
    <row r="10" spans="1:23" ht="30" customHeight="1" x14ac:dyDescent="0.25">
      <c r="A10" s="8">
        <f>_xlfn.XLOOKUP(9,OfficialTeamList[Row],OfficialTeamList[Team Number],"ERROR",0)</f>
        <v>0</v>
      </c>
      <c r="B10" s="20" t="str">
        <f>_xlfn.XLOOKUP(CoreValuesResults[[#This Row],[Team Number]],OfficialTeamList[Team Number],OfficialTeamList[Team Name],"",0,)</f>
        <v/>
      </c>
      <c r="C10" s="66">
        <f>_xlfn.XLOOKUP(CoreValuesResults[[#This Row],[Team Number]],InnovationProjectResults[Team Number],InnovationProjectResults[Explore 2 (CV)])</f>
        <v>0</v>
      </c>
      <c r="D10" s="66">
        <f>_xlfn.XLOOKUP(CoreValuesResults[[#This Row],[Team Number]],InnovationProjectResults[Team Number],InnovationProjectResults[Ideate 3 (CV)])</f>
        <v>0</v>
      </c>
      <c r="E10" s="66">
        <f>_xlfn.XLOOKUP(CoreValuesResults[[#This Row],[Team Number]],InnovationProjectResults[Team Number],InnovationProjectResults[Implement 1 (CV)])</f>
        <v>0</v>
      </c>
      <c r="F10" s="66">
        <f>_xlfn.XLOOKUP(CoreValuesResults[[#This Row],[Team Number]],InnovationProjectResults[Team Number],InnovationProjectResults[Communicate 2 (CV)])</f>
        <v>0</v>
      </c>
      <c r="G10" s="66">
        <f>_xlfn.XLOOKUP(CoreValuesResults[[#This Row],[Team Number]],RobotDesignResults[Team Number],RobotDesignResults[Identify 2 (CV)])</f>
        <v>0</v>
      </c>
      <c r="H10" s="66">
        <f>_xlfn.XLOOKUP(CoreValuesResults[[#This Row],[Team Number]],RobotDesignResults[Team Number],RobotDesignResults[Iterate 3 (CV)])</f>
        <v>0</v>
      </c>
      <c r="I10" s="66">
        <f>_xlfn.XLOOKUP(CoreValuesResults[[#This Row],[Team Number]],RobotDesignResults[Team Number],RobotDesignResults[Communicate 1 (CV)])</f>
        <v>0</v>
      </c>
      <c r="J10" s="66">
        <f>_xlfn.XLOOKUP(CoreValuesResults[[#This Row],[Team Number]],RobotDesignResults[Team Number],RobotDesignResults[Communicate 2 (CV)])</f>
        <v>0</v>
      </c>
      <c r="K10" s="12"/>
      <c r="L10" s="12"/>
      <c r="M10" s="12"/>
      <c r="N10" s="12"/>
      <c r="O10" s="12"/>
      <c r="P10" s="12"/>
      <c r="Q10" s="8" t="str">
        <f>IF(CoreValuesResults[[#This Row],[Gracious Professionalism 1]]="","",COUNTIF(CoreValuesResults[[#This Row],[Gracious Professionalism 1]:[Gracious Professionalism 5]],""))</f>
        <v/>
      </c>
      <c r="R10" s="8" t="str">
        <f>IF(CoreValuesResults[[#This Row],[Gracious Professionalism 1]]="","",SUM(CoreValuesResults[[#This Row],[Gracious Professionalism 1]:[Gracious Professionalism 5]]))</f>
        <v/>
      </c>
      <c r="S10"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0" s="34">
        <f>SUM(CoreValuesResults[[#This Row],[Project CV 1 - EXPLORE]:[Engineering CV 4 - COMMUNINCATE]],CoreValuesResults[[#This Row],[Gracious Professionalism Score]])</f>
        <v>0</v>
      </c>
      <c r="U10" s="21">
        <f>IF(CoreValuesResults[[#This Row],[Team Number]]&gt;0,MIN(_xlfn.RANK.EQ(CoreValuesResults[[#This Row],[Core Values Score]],CoreValuesResults[Core Values Score],0),NumberOfTeams),NumberOfTeams+1)</f>
        <v>9</v>
      </c>
      <c r="V10" s="35"/>
      <c r="W10" s="35"/>
    </row>
    <row r="11" spans="1:23" ht="30" customHeight="1" x14ac:dyDescent="0.25">
      <c r="A11" s="8">
        <f>_xlfn.XLOOKUP(10,OfficialTeamList[Row],OfficialTeamList[Team Number],"ERROR",0)</f>
        <v>0</v>
      </c>
      <c r="B11" s="20" t="str">
        <f>_xlfn.XLOOKUP(CoreValuesResults[[#This Row],[Team Number]],OfficialTeamList[Team Number],OfficialTeamList[Team Name],"",0,)</f>
        <v/>
      </c>
      <c r="C11" s="66">
        <f>_xlfn.XLOOKUP(CoreValuesResults[[#This Row],[Team Number]],InnovationProjectResults[Team Number],InnovationProjectResults[Explore 2 (CV)])</f>
        <v>0</v>
      </c>
      <c r="D11" s="66">
        <f>_xlfn.XLOOKUP(CoreValuesResults[[#This Row],[Team Number]],InnovationProjectResults[Team Number],InnovationProjectResults[Ideate 3 (CV)])</f>
        <v>0</v>
      </c>
      <c r="E11" s="66">
        <f>_xlfn.XLOOKUP(CoreValuesResults[[#This Row],[Team Number]],InnovationProjectResults[Team Number],InnovationProjectResults[Implement 1 (CV)])</f>
        <v>0</v>
      </c>
      <c r="F11" s="66">
        <f>_xlfn.XLOOKUP(CoreValuesResults[[#This Row],[Team Number]],InnovationProjectResults[Team Number],InnovationProjectResults[Communicate 2 (CV)])</f>
        <v>0</v>
      </c>
      <c r="G11" s="66">
        <f>_xlfn.XLOOKUP(CoreValuesResults[[#This Row],[Team Number]],RobotDesignResults[Team Number],RobotDesignResults[Identify 2 (CV)])</f>
        <v>0</v>
      </c>
      <c r="H11" s="66">
        <f>_xlfn.XLOOKUP(CoreValuesResults[[#This Row],[Team Number]],RobotDesignResults[Team Number],RobotDesignResults[Iterate 3 (CV)])</f>
        <v>0</v>
      </c>
      <c r="I11" s="66">
        <f>_xlfn.XLOOKUP(CoreValuesResults[[#This Row],[Team Number]],RobotDesignResults[Team Number],RobotDesignResults[Communicate 1 (CV)])</f>
        <v>0</v>
      </c>
      <c r="J11" s="66">
        <f>_xlfn.XLOOKUP(CoreValuesResults[[#This Row],[Team Number]],RobotDesignResults[Team Number],RobotDesignResults[Communicate 2 (CV)])</f>
        <v>0</v>
      </c>
      <c r="K11" s="12"/>
      <c r="L11" s="12"/>
      <c r="M11" s="12"/>
      <c r="N11" s="12"/>
      <c r="O11" s="12"/>
      <c r="P11" s="12"/>
      <c r="Q11" s="8" t="str">
        <f>IF(CoreValuesResults[[#This Row],[Gracious Professionalism 1]]="","",COUNTIF(CoreValuesResults[[#This Row],[Gracious Professionalism 1]:[Gracious Professionalism 5]],""))</f>
        <v/>
      </c>
      <c r="R11" s="8" t="str">
        <f>IF(CoreValuesResults[[#This Row],[Gracious Professionalism 1]]="","",SUM(CoreValuesResults[[#This Row],[Gracious Professionalism 1]:[Gracious Professionalism 5]]))</f>
        <v/>
      </c>
      <c r="S11"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1" s="34">
        <f>SUM(CoreValuesResults[[#This Row],[Project CV 1 - EXPLORE]:[Engineering CV 4 - COMMUNINCATE]],CoreValuesResults[[#This Row],[Gracious Professionalism Score]])</f>
        <v>0</v>
      </c>
      <c r="U11" s="21">
        <f>IF(CoreValuesResults[[#This Row],[Team Number]]&gt;0,MIN(_xlfn.RANK.EQ(CoreValuesResults[[#This Row],[Core Values Score]],CoreValuesResults[Core Values Score],0),NumberOfTeams),NumberOfTeams+1)</f>
        <v>9</v>
      </c>
      <c r="V11" s="35"/>
      <c r="W11" s="35"/>
    </row>
    <row r="12" spans="1:23" ht="30" customHeight="1" x14ac:dyDescent="0.25">
      <c r="A12" s="8">
        <f>_xlfn.XLOOKUP(11,OfficialTeamList[Row],OfficialTeamList[Team Number],"ERROR",0)</f>
        <v>0</v>
      </c>
      <c r="B12" s="20" t="str">
        <f>_xlfn.XLOOKUP(CoreValuesResults[[#This Row],[Team Number]],OfficialTeamList[Team Number],OfficialTeamList[Team Name],"",0,)</f>
        <v/>
      </c>
      <c r="C12" s="66">
        <f>_xlfn.XLOOKUP(CoreValuesResults[[#This Row],[Team Number]],InnovationProjectResults[Team Number],InnovationProjectResults[Explore 2 (CV)])</f>
        <v>0</v>
      </c>
      <c r="D12" s="66">
        <f>_xlfn.XLOOKUP(CoreValuesResults[[#This Row],[Team Number]],InnovationProjectResults[Team Number],InnovationProjectResults[Ideate 3 (CV)])</f>
        <v>0</v>
      </c>
      <c r="E12" s="66">
        <f>_xlfn.XLOOKUP(CoreValuesResults[[#This Row],[Team Number]],InnovationProjectResults[Team Number],InnovationProjectResults[Implement 1 (CV)])</f>
        <v>0</v>
      </c>
      <c r="F12" s="66">
        <f>_xlfn.XLOOKUP(CoreValuesResults[[#This Row],[Team Number]],InnovationProjectResults[Team Number],InnovationProjectResults[Communicate 2 (CV)])</f>
        <v>0</v>
      </c>
      <c r="G12" s="66">
        <f>_xlfn.XLOOKUP(CoreValuesResults[[#This Row],[Team Number]],RobotDesignResults[Team Number],RobotDesignResults[Identify 2 (CV)])</f>
        <v>0</v>
      </c>
      <c r="H12" s="66">
        <f>_xlfn.XLOOKUP(CoreValuesResults[[#This Row],[Team Number]],RobotDesignResults[Team Number],RobotDesignResults[Iterate 3 (CV)])</f>
        <v>0</v>
      </c>
      <c r="I12" s="66">
        <f>_xlfn.XLOOKUP(CoreValuesResults[[#This Row],[Team Number]],RobotDesignResults[Team Number],RobotDesignResults[Communicate 1 (CV)])</f>
        <v>0</v>
      </c>
      <c r="J12" s="66">
        <f>_xlfn.XLOOKUP(CoreValuesResults[[#This Row],[Team Number]],RobotDesignResults[Team Number],RobotDesignResults[Communicate 2 (CV)])</f>
        <v>0</v>
      </c>
      <c r="K12" s="12"/>
      <c r="L12" s="12"/>
      <c r="M12" s="12"/>
      <c r="N12" s="12"/>
      <c r="O12" s="12"/>
      <c r="P12" s="12"/>
      <c r="Q12" s="8" t="str">
        <f>IF(CoreValuesResults[[#This Row],[Gracious Professionalism 1]]="","",COUNTIF(CoreValuesResults[[#This Row],[Gracious Professionalism 1]:[Gracious Professionalism 5]],""))</f>
        <v/>
      </c>
      <c r="R12" s="8" t="str">
        <f>IF(CoreValuesResults[[#This Row],[Gracious Professionalism 1]]="","",SUM(CoreValuesResults[[#This Row],[Gracious Professionalism 1]:[Gracious Professionalism 5]]))</f>
        <v/>
      </c>
      <c r="S12"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2" s="34">
        <f>SUM(CoreValuesResults[[#This Row],[Project CV 1 - EXPLORE]:[Engineering CV 4 - COMMUNINCATE]],CoreValuesResults[[#This Row],[Gracious Professionalism Score]])</f>
        <v>0</v>
      </c>
      <c r="U12" s="21">
        <f>IF(CoreValuesResults[[#This Row],[Team Number]]&gt;0,MIN(_xlfn.RANK.EQ(CoreValuesResults[[#This Row],[Core Values Score]],CoreValuesResults[Core Values Score],0),NumberOfTeams),NumberOfTeams+1)</f>
        <v>9</v>
      </c>
      <c r="V12" s="35"/>
      <c r="W12" s="35"/>
    </row>
    <row r="13" spans="1:23" ht="30" customHeight="1" x14ac:dyDescent="0.25">
      <c r="A13" s="8">
        <f>_xlfn.XLOOKUP(12,OfficialTeamList[Row],OfficialTeamList[Team Number],"ERROR",0)</f>
        <v>0</v>
      </c>
      <c r="B13" s="20" t="str">
        <f>_xlfn.XLOOKUP(CoreValuesResults[[#This Row],[Team Number]],OfficialTeamList[Team Number],OfficialTeamList[Team Name],"",0,)</f>
        <v/>
      </c>
      <c r="C13" s="66">
        <f>_xlfn.XLOOKUP(CoreValuesResults[[#This Row],[Team Number]],InnovationProjectResults[Team Number],InnovationProjectResults[Explore 2 (CV)])</f>
        <v>0</v>
      </c>
      <c r="D13" s="66">
        <f>_xlfn.XLOOKUP(CoreValuesResults[[#This Row],[Team Number]],InnovationProjectResults[Team Number],InnovationProjectResults[Ideate 3 (CV)])</f>
        <v>0</v>
      </c>
      <c r="E13" s="66">
        <f>_xlfn.XLOOKUP(CoreValuesResults[[#This Row],[Team Number]],InnovationProjectResults[Team Number],InnovationProjectResults[Implement 1 (CV)])</f>
        <v>0</v>
      </c>
      <c r="F13" s="66">
        <f>_xlfn.XLOOKUP(CoreValuesResults[[#This Row],[Team Number]],InnovationProjectResults[Team Number],InnovationProjectResults[Communicate 2 (CV)])</f>
        <v>0</v>
      </c>
      <c r="G13" s="66">
        <f>_xlfn.XLOOKUP(CoreValuesResults[[#This Row],[Team Number]],RobotDesignResults[Team Number],RobotDesignResults[Identify 2 (CV)])</f>
        <v>0</v>
      </c>
      <c r="H13" s="66">
        <f>_xlfn.XLOOKUP(CoreValuesResults[[#This Row],[Team Number]],RobotDesignResults[Team Number],RobotDesignResults[Iterate 3 (CV)])</f>
        <v>0</v>
      </c>
      <c r="I13" s="66">
        <f>_xlfn.XLOOKUP(CoreValuesResults[[#This Row],[Team Number]],RobotDesignResults[Team Number],RobotDesignResults[Communicate 1 (CV)])</f>
        <v>0</v>
      </c>
      <c r="J13" s="66">
        <f>_xlfn.XLOOKUP(CoreValuesResults[[#This Row],[Team Number]],RobotDesignResults[Team Number],RobotDesignResults[Communicate 2 (CV)])</f>
        <v>0</v>
      </c>
      <c r="K13" s="12"/>
      <c r="L13" s="12"/>
      <c r="M13" s="12"/>
      <c r="N13" s="12"/>
      <c r="O13" s="12"/>
      <c r="P13" s="12"/>
      <c r="Q13" s="8" t="str">
        <f>IF(CoreValuesResults[[#This Row],[Gracious Professionalism 1]]="","",COUNTIF(CoreValuesResults[[#This Row],[Gracious Professionalism 1]:[Gracious Professionalism 5]],""))</f>
        <v/>
      </c>
      <c r="R13" s="8" t="str">
        <f>IF(CoreValuesResults[[#This Row],[Gracious Professionalism 1]]="","",SUM(CoreValuesResults[[#This Row],[Gracious Professionalism 1]:[Gracious Professionalism 5]]))</f>
        <v/>
      </c>
      <c r="S13"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3" s="34">
        <f>SUM(CoreValuesResults[[#This Row],[Project CV 1 - EXPLORE]:[Engineering CV 4 - COMMUNINCATE]],CoreValuesResults[[#This Row],[Gracious Professionalism Score]])</f>
        <v>0</v>
      </c>
      <c r="U13" s="21">
        <f>IF(CoreValuesResults[[#This Row],[Team Number]]&gt;0,MIN(_xlfn.RANK.EQ(CoreValuesResults[[#This Row],[Core Values Score]],CoreValuesResults[Core Values Score],0),NumberOfTeams),NumberOfTeams+1)</f>
        <v>9</v>
      </c>
      <c r="V13" s="35"/>
      <c r="W13" s="35"/>
    </row>
    <row r="14" spans="1:23" ht="30" customHeight="1" x14ac:dyDescent="0.25">
      <c r="A14" s="8">
        <f>_xlfn.XLOOKUP(13,OfficialTeamList[Row],OfficialTeamList[Team Number],"ERROR",0)</f>
        <v>0</v>
      </c>
      <c r="B14" s="20" t="str">
        <f>_xlfn.XLOOKUP(CoreValuesResults[[#This Row],[Team Number]],OfficialTeamList[Team Number],OfficialTeamList[Team Name],"",0,)</f>
        <v/>
      </c>
      <c r="C14" s="66">
        <f>_xlfn.XLOOKUP(CoreValuesResults[[#This Row],[Team Number]],InnovationProjectResults[Team Number],InnovationProjectResults[Explore 2 (CV)])</f>
        <v>0</v>
      </c>
      <c r="D14" s="66">
        <f>_xlfn.XLOOKUP(CoreValuesResults[[#This Row],[Team Number]],InnovationProjectResults[Team Number],InnovationProjectResults[Ideate 3 (CV)])</f>
        <v>0</v>
      </c>
      <c r="E14" s="66">
        <f>_xlfn.XLOOKUP(CoreValuesResults[[#This Row],[Team Number]],InnovationProjectResults[Team Number],InnovationProjectResults[Implement 1 (CV)])</f>
        <v>0</v>
      </c>
      <c r="F14" s="66">
        <f>_xlfn.XLOOKUP(CoreValuesResults[[#This Row],[Team Number]],InnovationProjectResults[Team Number],InnovationProjectResults[Communicate 2 (CV)])</f>
        <v>0</v>
      </c>
      <c r="G14" s="66">
        <f>_xlfn.XLOOKUP(CoreValuesResults[[#This Row],[Team Number]],RobotDesignResults[Team Number],RobotDesignResults[Identify 2 (CV)])</f>
        <v>0</v>
      </c>
      <c r="H14" s="66">
        <f>_xlfn.XLOOKUP(CoreValuesResults[[#This Row],[Team Number]],RobotDesignResults[Team Number],RobotDesignResults[Iterate 3 (CV)])</f>
        <v>0</v>
      </c>
      <c r="I14" s="66">
        <f>_xlfn.XLOOKUP(CoreValuesResults[[#This Row],[Team Number]],RobotDesignResults[Team Number],RobotDesignResults[Communicate 1 (CV)])</f>
        <v>0</v>
      </c>
      <c r="J14" s="66">
        <f>_xlfn.XLOOKUP(CoreValuesResults[[#This Row],[Team Number]],RobotDesignResults[Team Number],RobotDesignResults[Communicate 2 (CV)])</f>
        <v>0</v>
      </c>
      <c r="K14" s="12"/>
      <c r="L14" s="12"/>
      <c r="M14" s="12"/>
      <c r="N14" s="12"/>
      <c r="O14" s="12"/>
      <c r="P14" s="12"/>
      <c r="Q14" s="8" t="str">
        <f>IF(CoreValuesResults[[#This Row],[Gracious Professionalism 1]]="","",COUNTIF(CoreValuesResults[[#This Row],[Gracious Professionalism 1]:[Gracious Professionalism 5]],""))</f>
        <v/>
      </c>
      <c r="R14" s="8" t="str">
        <f>IF(CoreValuesResults[[#This Row],[Gracious Professionalism 1]]="","",SUM(CoreValuesResults[[#This Row],[Gracious Professionalism 1]:[Gracious Professionalism 5]]))</f>
        <v/>
      </c>
      <c r="S14"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4" s="34">
        <f>SUM(CoreValuesResults[[#This Row],[Project CV 1 - EXPLORE]:[Engineering CV 4 - COMMUNINCATE]],CoreValuesResults[[#This Row],[Gracious Professionalism Score]])</f>
        <v>0</v>
      </c>
      <c r="U14" s="21">
        <f>IF(CoreValuesResults[[#This Row],[Team Number]]&gt;0,MIN(_xlfn.RANK.EQ(CoreValuesResults[[#This Row],[Core Values Score]],CoreValuesResults[Core Values Score],0),NumberOfTeams),NumberOfTeams+1)</f>
        <v>9</v>
      </c>
      <c r="V14" s="35"/>
      <c r="W14" s="35"/>
    </row>
    <row r="15" spans="1:23" ht="30" customHeight="1" x14ac:dyDescent="0.25">
      <c r="A15" s="8">
        <f>_xlfn.XLOOKUP(14,OfficialTeamList[Row],OfficialTeamList[Team Number],"ERROR",0)</f>
        <v>0</v>
      </c>
      <c r="B15" s="20" t="str">
        <f>_xlfn.XLOOKUP(CoreValuesResults[[#This Row],[Team Number]],OfficialTeamList[Team Number],OfficialTeamList[Team Name],"",0,)</f>
        <v/>
      </c>
      <c r="C15" s="66">
        <f>_xlfn.XLOOKUP(CoreValuesResults[[#This Row],[Team Number]],InnovationProjectResults[Team Number],InnovationProjectResults[Explore 2 (CV)])</f>
        <v>0</v>
      </c>
      <c r="D15" s="66">
        <f>_xlfn.XLOOKUP(CoreValuesResults[[#This Row],[Team Number]],InnovationProjectResults[Team Number],InnovationProjectResults[Ideate 3 (CV)])</f>
        <v>0</v>
      </c>
      <c r="E15" s="66">
        <f>_xlfn.XLOOKUP(CoreValuesResults[[#This Row],[Team Number]],InnovationProjectResults[Team Number],InnovationProjectResults[Implement 1 (CV)])</f>
        <v>0</v>
      </c>
      <c r="F15" s="66">
        <f>_xlfn.XLOOKUP(CoreValuesResults[[#This Row],[Team Number]],InnovationProjectResults[Team Number],InnovationProjectResults[Communicate 2 (CV)])</f>
        <v>0</v>
      </c>
      <c r="G15" s="66">
        <f>_xlfn.XLOOKUP(CoreValuesResults[[#This Row],[Team Number]],RobotDesignResults[Team Number],RobotDesignResults[Identify 2 (CV)])</f>
        <v>0</v>
      </c>
      <c r="H15" s="66">
        <f>_xlfn.XLOOKUP(CoreValuesResults[[#This Row],[Team Number]],RobotDesignResults[Team Number],RobotDesignResults[Iterate 3 (CV)])</f>
        <v>0</v>
      </c>
      <c r="I15" s="66">
        <f>_xlfn.XLOOKUP(CoreValuesResults[[#This Row],[Team Number]],RobotDesignResults[Team Number],RobotDesignResults[Communicate 1 (CV)])</f>
        <v>0</v>
      </c>
      <c r="J15" s="66">
        <f>_xlfn.XLOOKUP(CoreValuesResults[[#This Row],[Team Number]],RobotDesignResults[Team Number],RobotDesignResults[Communicate 2 (CV)])</f>
        <v>0</v>
      </c>
      <c r="K15" s="12"/>
      <c r="L15" s="12"/>
      <c r="M15" s="12"/>
      <c r="N15" s="12"/>
      <c r="O15" s="12"/>
      <c r="P15" s="12"/>
      <c r="Q15" s="8" t="str">
        <f>IF(CoreValuesResults[[#This Row],[Gracious Professionalism 1]]="","",COUNTIF(CoreValuesResults[[#This Row],[Gracious Professionalism 1]:[Gracious Professionalism 5]],""))</f>
        <v/>
      </c>
      <c r="R15" s="8" t="str">
        <f>IF(CoreValuesResults[[#This Row],[Gracious Professionalism 1]]="","",SUM(CoreValuesResults[[#This Row],[Gracious Professionalism 1]:[Gracious Professionalism 5]]))</f>
        <v/>
      </c>
      <c r="S15"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5" s="34">
        <f>SUM(CoreValuesResults[[#This Row],[Project CV 1 - EXPLORE]:[Engineering CV 4 - COMMUNINCATE]],CoreValuesResults[[#This Row],[Gracious Professionalism Score]])</f>
        <v>0</v>
      </c>
      <c r="U15" s="21">
        <f>IF(CoreValuesResults[[#This Row],[Team Number]]&gt;0,MIN(_xlfn.RANK.EQ(CoreValuesResults[[#This Row],[Core Values Score]],CoreValuesResults[Core Values Score],0),NumberOfTeams),NumberOfTeams+1)</f>
        <v>9</v>
      </c>
      <c r="V15" s="35"/>
      <c r="W15" s="35"/>
    </row>
    <row r="16" spans="1:23" ht="30" customHeight="1" x14ac:dyDescent="0.25">
      <c r="A16" s="8">
        <f>_xlfn.XLOOKUP(15,OfficialTeamList[Row],OfficialTeamList[Team Number],"ERROR",0)</f>
        <v>0</v>
      </c>
      <c r="B16" s="20" t="str">
        <f>_xlfn.XLOOKUP(CoreValuesResults[[#This Row],[Team Number]],OfficialTeamList[Team Number],OfficialTeamList[Team Name],"",0,)</f>
        <v/>
      </c>
      <c r="C16" s="66">
        <f>_xlfn.XLOOKUP(CoreValuesResults[[#This Row],[Team Number]],InnovationProjectResults[Team Number],InnovationProjectResults[Explore 2 (CV)])</f>
        <v>0</v>
      </c>
      <c r="D16" s="66">
        <f>_xlfn.XLOOKUP(CoreValuesResults[[#This Row],[Team Number]],InnovationProjectResults[Team Number],InnovationProjectResults[Ideate 3 (CV)])</f>
        <v>0</v>
      </c>
      <c r="E16" s="66">
        <f>_xlfn.XLOOKUP(CoreValuesResults[[#This Row],[Team Number]],InnovationProjectResults[Team Number],InnovationProjectResults[Implement 1 (CV)])</f>
        <v>0</v>
      </c>
      <c r="F16" s="66">
        <f>_xlfn.XLOOKUP(CoreValuesResults[[#This Row],[Team Number]],InnovationProjectResults[Team Number],InnovationProjectResults[Communicate 2 (CV)])</f>
        <v>0</v>
      </c>
      <c r="G16" s="66">
        <f>_xlfn.XLOOKUP(CoreValuesResults[[#This Row],[Team Number]],RobotDesignResults[Team Number],RobotDesignResults[Identify 2 (CV)])</f>
        <v>0</v>
      </c>
      <c r="H16" s="66">
        <f>_xlfn.XLOOKUP(CoreValuesResults[[#This Row],[Team Number]],RobotDesignResults[Team Number],RobotDesignResults[Iterate 3 (CV)])</f>
        <v>0</v>
      </c>
      <c r="I16" s="66">
        <f>_xlfn.XLOOKUP(CoreValuesResults[[#This Row],[Team Number]],RobotDesignResults[Team Number],RobotDesignResults[Communicate 1 (CV)])</f>
        <v>0</v>
      </c>
      <c r="J16" s="66">
        <f>_xlfn.XLOOKUP(CoreValuesResults[[#This Row],[Team Number]],RobotDesignResults[Team Number],RobotDesignResults[Communicate 2 (CV)])</f>
        <v>0</v>
      </c>
      <c r="K16" s="12"/>
      <c r="L16" s="12"/>
      <c r="M16" s="12"/>
      <c r="N16" s="12"/>
      <c r="O16" s="12"/>
      <c r="P16" s="12"/>
      <c r="Q16" s="8" t="str">
        <f>IF(CoreValuesResults[[#This Row],[Gracious Professionalism 1]]="","",COUNTIF(CoreValuesResults[[#This Row],[Gracious Professionalism 1]:[Gracious Professionalism 5]],""))</f>
        <v/>
      </c>
      <c r="R16" s="8" t="str">
        <f>IF(CoreValuesResults[[#This Row],[Gracious Professionalism 1]]="","",SUM(CoreValuesResults[[#This Row],[Gracious Professionalism 1]:[Gracious Professionalism 5]]))</f>
        <v/>
      </c>
      <c r="S16"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6" s="34">
        <f>SUM(CoreValuesResults[[#This Row],[Project CV 1 - EXPLORE]:[Engineering CV 4 - COMMUNINCATE]],CoreValuesResults[[#This Row],[Gracious Professionalism Score]])</f>
        <v>0</v>
      </c>
      <c r="U16" s="21">
        <f>IF(CoreValuesResults[[#This Row],[Team Number]]&gt;0,MIN(_xlfn.RANK.EQ(CoreValuesResults[[#This Row],[Core Values Score]],CoreValuesResults[Core Values Score],0),NumberOfTeams),NumberOfTeams+1)</f>
        <v>9</v>
      </c>
      <c r="V16" s="35"/>
      <c r="W16" s="35"/>
    </row>
    <row r="17" spans="1:23" ht="30" customHeight="1" x14ac:dyDescent="0.25">
      <c r="A17" s="8">
        <f>_xlfn.XLOOKUP(16,OfficialTeamList[Row],OfficialTeamList[Team Number],"ERROR",0)</f>
        <v>0</v>
      </c>
      <c r="B17" s="20" t="str">
        <f>_xlfn.XLOOKUP(CoreValuesResults[[#This Row],[Team Number]],OfficialTeamList[Team Number],OfficialTeamList[Team Name],"",0,)</f>
        <v/>
      </c>
      <c r="C17" s="66">
        <f>_xlfn.XLOOKUP(CoreValuesResults[[#This Row],[Team Number]],InnovationProjectResults[Team Number],InnovationProjectResults[Explore 2 (CV)])</f>
        <v>0</v>
      </c>
      <c r="D17" s="66">
        <f>_xlfn.XLOOKUP(CoreValuesResults[[#This Row],[Team Number]],InnovationProjectResults[Team Number],InnovationProjectResults[Ideate 3 (CV)])</f>
        <v>0</v>
      </c>
      <c r="E17" s="66">
        <f>_xlfn.XLOOKUP(CoreValuesResults[[#This Row],[Team Number]],InnovationProjectResults[Team Number],InnovationProjectResults[Implement 1 (CV)])</f>
        <v>0</v>
      </c>
      <c r="F17" s="66">
        <f>_xlfn.XLOOKUP(CoreValuesResults[[#This Row],[Team Number]],InnovationProjectResults[Team Number],InnovationProjectResults[Communicate 2 (CV)])</f>
        <v>0</v>
      </c>
      <c r="G17" s="66">
        <f>_xlfn.XLOOKUP(CoreValuesResults[[#This Row],[Team Number]],RobotDesignResults[Team Number],RobotDesignResults[Identify 2 (CV)])</f>
        <v>0</v>
      </c>
      <c r="H17" s="66">
        <f>_xlfn.XLOOKUP(CoreValuesResults[[#This Row],[Team Number]],RobotDesignResults[Team Number],RobotDesignResults[Iterate 3 (CV)])</f>
        <v>0</v>
      </c>
      <c r="I17" s="66">
        <f>_xlfn.XLOOKUP(CoreValuesResults[[#This Row],[Team Number]],RobotDesignResults[Team Number],RobotDesignResults[Communicate 1 (CV)])</f>
        <v>0</v>
      </c>
      <c r="J17" s="66">
        <f>_xlfn.XLOOKUP(CoreValuesResults[[#This Row],[Team Number]],RobotDesignResults[Team Number],RobotDesignResults[Communicate 2 (CV)])</f>
        <v>0</v>
      </c>
      <c r="K17" s="12"/>
      <c r="L17" s="12"/>
      <c r="M17" s="12"/>
      <c r="N17" s="12"/>
      <c r="O17" s="12"/>
      <c r="P17" s="12"/>
      <c r="Q17" s="8" t="str">
        <f>IF(CoreValuesResults[[#This Row],[Gracious Professionalism 1]]="","",COUNTIF(CoreValuesResults[[#This Row],[Gracious Professionalism 1]:[Gracious Professionalism 5]],""))</f>
        <v/>
      </c>
      <c r="R17" s="8" t="str">
        <f>IF(CoreValuesResults[[#This Row],[Gracious Professionalism 1]]="","",SUM(CoreValuesResults[[#This Row],[Gracious Professionalism 1]:[Gracious Professionalism 5]]))</f>
        <v/>
      </c>
      <c r="S17"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7" s="34">
        <f>SUM(CoreValuesResults[[#This Row],[Project CV 1 - EXPLORE]:[Engineering CV 4 - COMMUNINCATE]],CoreValuesResults[[#This Row],[Gracious Professionalism Score]])</f>
        <v>0</v>
      </c>
      <c r="U17" s="21">
        <f>IF(CoreValuesResults[[#This Row],[Team Number]]&gt;0,MIN(_xlfn.RANK.EQ(CoreValuesResults[[#This Row],[Core Values Score]],CoreValuesResults[Core Values Score],0),NumberOfTeams),NumberOfTeams+1)</f>
        <v>9</v>
      </c>
      <c r="V17" s="35"/>
      <c r="W17" s="35"/>
    </row>
    <row r="18" spans="1:23" ht="30" customHeight="1" x14ac:dyDescent="0.25">
      <c r="A18" s="8">
        <f>_xlfn.XLOOKUP(17,OfficialTeamList[Row],OfficialTeamList[Team Number],"ERROR",0)</f>
        <v>0</v>
      </c>
      <c r="B18" s="20" t="str">
        <f>_xlfn.XLOOKUP(CoreValuesResults[[#This Row],[Team Number]],OfficialTeamList[Team Number],OfficialTeamList[Team Name],"",0,)</f>
        <v/>
      </c>
      <c r="C18" s="66">
        <f>_xlfn.XLOOKUP(CoreValuesResults[[#This Row],[Team Number]],InnovationProjectResults[Team Number],InnovationProjectResults[Explore 2 (CV)])</f>
        <v>0</v>
      </c>
      <c r="D18" s="66">
        <f>_xlfn.XLOOKUP(CoreValuesResults[[#This Row],[Team Number]],InnovationProjectResults[Team Number],InnovationProjectResults[Ideate 3 (CV)])</f>
        <v>0</v>
      </c>
      <c r="E18" s="66">
        <f>_xlfn.XLOOKUP(CoreValuesResults[[#This Row],[Team Number]],InnovationProjectResults[Team Number],InnovationProjectResults[Implement 1 (CV)])</f>
        <v>0</v>
      </c>
      <c r="F18" s="66">
        <f>_xlfn.XLOOKUP(CoreValuesResults[[#This Row],[Team Number]],InnovationProjectResults[Team Number],InnovationProjectResults[Communicate 2 (CV)])</f>
        <v>0</v>
      </c>
      <c r="G18" s="66">
        <f>_xlfn.XLOOKUP(CoreValuesResults[[#This Row],[Team Number]],RobotDesignResults[Team Number],RobotDesignResults[Identify 2 (CV)])</f>
        <v>0</v>
      </c>
      <c r="H18" s="66">
        <f>_xlfn.XLOOKUP(CoreValuesResults[[#This Row],[Team Number]],RobotDesignResults[Team Number],RobotDesignResults[Iterate 3 (CV)])</f>
        <v>0</v>
      </c>
      <c r="I18" s="66">
        <f>_xlfn.XLOOKUP(CoreValuesResults[[#This Row],[Team Number]],RobotDesignResults[Team Number],RobotDesignResults[Communicate 1 (CV)])</f>
        <v>0</v>
      </c>
      <c r="J18" s="66">
        <f>_xlfn.XLOOKUP(CoreValuesResults[[#This Row],[Team Number]],RobotDesignResults[Team Number],RobotDesignResults[Communicate 2 (CV)])</f>
        <v>0</v>
      </c>
      <c r="K18" s="12"/>
      <c r="L18" s="12"/>
      <c r="M18" s="12"/>
      <c r="N18" s="12"/>
      <c r="O18" s="12"/>
      <c r="P18" s="12"/>
      <c r="Q18" s="8" t="str">
        <f>IF(CoreValuesResults[[#This Row],[Gracious Professionalism 1]]="","",COUNTIF(CoreValuesResults[[#This Row],[Gracious Professionalism 1]:[Gracious Professionalism 5]],""))</f>
        <v/>
      </c>
      <c r="R18" s="8" t="str">
        <f>IF(CoreValuesResults[[#This Row],[Gracious Professionalism 1]]="","",SUM(CoreValuesResults[[#This Row],[Gracious Professionalism 1]:[Gracious Professionalism 5]]))</f>
        <v/>
      </c>
      <c r="S18"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8" s="34">
        <f>SUM(CoreValuesResults[[#This Row],[Project CV 1 - EXPLORE]:[Engineering CV 4 - COMMUNINCATE]],CoreValuesResults[[#This Row],[Gracious Professionalism Score]])</f>
        <v>0</v>
      </c>
      <c r="U18" s="21">
        <f>IF(CoreValuesResults[[#This Row],[Team Number]]&gt;0,MIN(_xlfn.RANK.EQ(CoreValuesResults[[#This Row],[Core Values Score]],CoreValuesResults[Core Values Score],0),NumberOfTeams),NumberOfTeams+1)</f>
        <v>9</v>
      </c>
      <c r="V18" s="35"/>
      <c r="W18" s="35"/>
    </row>
    <row r="19" spans="1:23" ht="30" customHeight="1" x14ac:dyDescent="0.25">
      <c r="A19" s="8">
        <f>_xlfn.XLOOKUP(18,OfficialTeamList[Row],OfficialTeamList[Team Number],"ERROR",0)</f>
        <v>0</v>
      </c>
      <c r="B19" s="20" t="str">
        <f>_xlfn.XLOOKUP(CoreValuesResults[[#This Row],[Team Number]],OfficialTeamList[Team Number],OfficialTeamList[Team Name],"",0,)</f>
        <v/>
      </c>
      <c r="C19" s="66">
        <f>_xlfn.XLOOKUP(CoreValuesResults[[#This Row],[Team Number]],InnovationProjectResults[Team Number],InnovationProjectResults[Explore 2 (CV)])</f>
        <v>0</v>
      </c>
      <c r="D19" s="66">
        <f>_xlfn.XLOOKUP(CoreValuesResults[[#This Row],[Team Number]],InnovationProjectResults[Team Number],InnovationProjectResults[Ideate 3 (CV)])</f>
        <v>0</v>
      </c>
      <c r="E19" s="66">
        <f>_xlfn.XLOOKUP(CoreValuesResults[[#This Row],[Team Number]],InnovationProjectResults[Team Number],InnovationProjectResults[Implement 1 (CV)])</f>
        <v>0</v>
      </c>
      <c r="F19" s="66">
        <f>_xlfn.XLOOKUP(CoreValuesResults[[#This Row],[Team Number]],InnovationProjectResults[Team Number],InnovationProjectResults[Communicate 2 (CV)])</f>
        <v>0</v>
      </c>
      <c r="G19" s="66">
        <f>_xlfn.XLOOKUP(CoreValuesResults[[#This Row],[Team Number]],RobotDesignResults[Team Number],RobotDesignResults[Identify 2 (CV)])</f>
        <v>0</v>
      </c>
      <c r="H19" s="66">
        <f>_xlfn.XLOOKUP(CoreValuesResults[[#This Row],[Team Number]],RobotDesignResults[Team Number],RobotDesignResults[Iterate 3 (CV)])</f>
        <v>0</v>
      </c>
      <c r="I19" s="66">
        <f>_xlfn.XLOOKUP(CoreValuesResults[[#This Row],[Team Number]],RobotDesignResults[Team Number],RobotDesignResults[Communicate 1 (CV)])</f>
        <v>0</v>
      </c>
      <c r="J19" s="66">
        <f>_xlfn.XLOOKUP(CoreValuesResults[[#This Row],[Team Number]],RobotDesignResults[Team Number],RobotDesignResults[Communicate 2 (CV)])</f>
        <v>0</v>
      </c>
      <c r="K19" s="12"/>
      <c r="L19" s="12"/>
      <c r="M19" s="12"/>
      <c r="N19" s="12"/>
      <c r="O19" s="12"/>
      <c r="P19" s="12"/>
      <c r="Q19" s="8" t="str">
        <f>IF(CoreValuesResults[[#This Row],[Gracious Professionalism 1]]="","",COUNTIF(CoreValuesResults[[#This Row],[Gracious Professionalism 1]:[Gracious Professionalism 5]],""))</f>
        <v/>
      </c>
      <c r="R19" s="8" t="str">
        <f>IF(CoreValuesResults[[#This Row],[Gracious Professionalism 1]]="","",SUM(CoreValuesResults[[#This Row],[Gracious Professionalism 1]:[Gracious Professionalism 5]]))</f>
        <v/>
      </c>
      <c r="S19"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9" s="34">
        <f>SUM(CoreValuesResults[[#This Row],[Project CV 1 - EXPLORE]:[Engineering CV 4 - COMMUNINCATE]],CoreValuesResults[[#This Row],[Gracious Professionalism Score]])</f>
        <v>0</v>
      </c>
      <c r="U19" s="21">
        <f>IF(CoreValuesResults[[#This Row],[Team Number]]&gt;0,MIN(_xlfn.RANK.EQ(CoreValuesResults[[#This Row],[Core Values Score]],CoreValuesResults[Core Values Score],0),NumberOfTeams),NumberOfTeams+1)</f>
        <v>9</v>
      </c>
      <c r="V19" s="35"/>
      <c r="W19" s="35"/>
    </row>
    <row r="20" spans="1:23" ht="30" customHeight="1" x14ac:dyDescent="0.25">
      <c r="A20" s="8">
        <f>_xlfn.XLOOKUP(19,OfficialTeamList[Row],OfficialTeamList[Team Number],"ERROR",0)</f>
        <v>0</v>
      </c>
      <c r="B20" s="20" t="str">
        <f>_xlfn.XLOOKUP(CoreValuesResults[[#This Row],[Team Number]],OfficialTeamList[Team Number],OfficialTeamList[Team Name],"",0,)</f>
        <v/>
      </c>
      <c r="C20" s="66">
        <f>_xlfn.XLOOKUP(CoreValuesResults[[#This Row],[Team Number]],InnovationProjectResults[Team Number],InnovationProjectResults[Explore 2 (CV)])</f>
        <v>0</v>
      </c>
      <c r="D20" s="66">
        <f>_xlfn.XLOOKUP(CoreValuesResults[[#This Row],[Team Number]],InnovationProjectResults[Team Number],InnovationProjectResults[Ideate 3 (CV)])</f>
        <v>0</v>
      </c>
      <c r="E20" s="66">
        <f>_xlfn.XLOOKUP(CoreValuesResults[[#This Row],[Team Number]],InnovationProjectResults[Team Number],InnovationProjectResults[Implement 1 (CV)])</f>
        <v>0</v>
      </c>
      <c r="F20" s="66">
        <f>_xlfn.XLOOKUP(CoreValuesResults[[#This Row],[Team Number]],InnovationProjectResults[Team Number],InnovationProjectResults[Communicate 2 (CV)])</f>
        <v>0</v>
      </c>
      <c r="G20" s="66">
        <f>_xlfn.XLOOKUP(CoreValuesResults[[#This Row],[Team Number]],RobotDesignResults[Team Number],RobotDesignResults[Identify 2 (CV)])</f>
        <v>0</v>
      </c>
      <c r="H20" s="66">
        <f>_xlfn.XLOOKUP(CoreValuesResults[[#This Row],[Team Number]],RobotDesignResults[Team Number],RobotDesignResults[Iterate 3 (CV)])</f>
        <v>0</v>
      </c>
      <c r="I20" s="66">
        <f>_xlfn.XLOOKUP(CoreValuesResults[[#This Row],[Team Number]],RobotDesignResults[Team Number],RobotDesignResults[Communicate 1 (CV)])</f>
        <v>0</v>
      </c>
      <c r="J20" s="66">
        <f>_xlfn.XLOOKUP(CoreValuesResults[[#This Row],[Team Number]],RobotDesignResults[Team Number],RobotDesignResults[Communicate 2 (CV)])</f>
        <v>0</v>
      </c>
      <c r="K20" s="12"/>
      <c r="L20" s="12"/>
      <c r="M20" s="12"/>
      <c r="N20" s="12"/>
      <c r="O20" s="12"/>
      <c r="P20" s="12"/>
      <c r="Q20" s="8" t="str">
        <f>IF(CoreValuesResults[[#This Row],[Gracious Professionalism 1]]="","",COUNTIF(CoreValuesResults[[#This Row],[Gracious Professionalism 1]:[Gracious Professionalism 5]],""))</f>
        <v/>
      </c>
      <c r="R20" s="8" t="str">
        <f>IF(CoreValuesResults[[#This Row],[Gracious Professionalism 1]]="","",SUM(CoreValuesResults[[#This Row],[Gracious Professionalism 1]:[Gracious Professionalism 5]]))</f>
        <v/>
      </c>
      <c r="S20"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0" s="34">
        <f>SUM(CoreValuesResults[[#This Row],[Project CV 1 - EXPLORE]:[Engineering CV 4 - COMMUNINCATE]],CoreValuesResults[[#This Row],[Gracious Professionalism Score]])</f>
        <v>0</v>
      </c>
      <c r="U20" s="21">
        <f>IF(CoreValuesResults[[#This Row],[Team Number]]&gt;0,MIN(_xlfn.RANK.EQ(CoreValuesResults[[#This Row],[Core Values Score]],CoreValuesResults[Core Values Score],0),NumberOfTeams),NumberOfTeams+1)</f>
        <v>9</v>
      </c>
      <c r="V20" s="35"/>
      <c r="W20" s="35"/>
    </row>
    <row r="21" spans="1:23" ht="30" customHeight="1" x14ac:dyDescent="0.25">
      <c r="A21" s="8">
        <f>_xlfn.XLOOKUP(20,OfficialTeamList[Row],OfficialTeamList[Team Number],"ERROR",0)</f>
        <v>0</v>
      </c>
      <c r="B21" s="20" t="str">
        <f>_xlfn.XLOOKUP(CoreValuesResults[[#This Row],[Team Number]],OfficialTeamList[Team Number],OfficialTeamList[Team Name],"",0,)</f>
        <v/>
      </c>
      <c r="C21" s="66">
        <f>_xlfn.XLOOKUP(CoreValuesResults[[#This Row],[Team Number]],InnovationProjectResults[Team Number],InnovationProjectResults[Explore 2 (CV)])</f>
        <v>0</v>
      </c>
      <c r="D21" s="66">
        <f>_xlfn.XLOOKUP(CoreValuesResults[[#This Row],[Team Number]],InnovationProjectResults[Team Number],InnovationProjectResults[Ideate 3 (CV)])</f>
        <v>0</v>
      </c>
      <c r="E21" s="66">
        <f>_xlfn.XLOOKUP(CoreValuesResults[[#This Row],[Team Number]],InnovationProjectResults[Team Number],InnovationProjectResults[Implement 1 (CV)])</f>
        <v>0</v>
      </c>
      <c r="F21" s="66">
        <f>_xlfn.XLOOKUP(CoreValuesResults[[#This Row],[Team Number]],InnovationProjectResults[Team Number],InnovationProjectResults[Communicate 2 (CV)])</f>
        <v>0</v>
      </c>
      <c r="G21" s="66">
        <f>_xlfn.XLOOKUP(CoreValuesResults[[#This Row],[Team Number]],RobotDesignResults[Team Number],RobotDesignResults[Identify 2 (CV)])</f>
        <v>0</v>
      </c>
      <c r="H21" s="66">
        <f>_xlfn.XLOOKUP(CoreValuesResults[[#This Row],[Team Number]],RobotDesignResults[Team Number],RobotDesignResults[Iterate 3 (CV)])</f>
        <v>0</v>
      </c>
      <c r="I21" s="66">
        <f>_xlfn.XLOOKUP(CoreValuesResults[[#This Row],[Team Number]],RobotDesignResults[Team Number],RobotDesignResults[Communicate 1 (CV)])</f>
        <v>0</v>
      </c>
      <c r="J21" s="66">
        <f>_xlfn.XLOOKUP(CoreValuesResults[[#This Row],[Team Number]],RobotDesignResults[Team Number],RobotDesignResults[Communicate 2 (CV)])</f>
        <v>0</v>
      </c>
      <c r="K21" s="12"/>
      <c r="L21" s="12"/>
      <c r="M21" s="12"/>
      <c r="N21" s="12"/>
      <c r="O21" s="12"/>
      <c r="P21" s="12"/>
      <c r="Q21" s="8" t="str">
        <f>IF(CoreValuesResults[[#This Row],[Gracious Professionalism 1]]="","",COUNTIF(CoreValuesResults[[#This Row],[Gracious Professionalism 1]:[Gracious Professionalism 5]],""))</f>
        <v/>
      </c>
      <c r="R21" s="8" t="str">
        <f>IF(CoreValuesResults[[#This Row],[Gracious Professionalism 1]]="","",SUM(CoreValuesResults[[#This Row],[Gracious Professionalism 1]:[Gracious Professionalism 5]]))</f>
        <v/>
      </c>
      <c r="S21"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1" s="34">
        <f>SUM(CoreValuesResults[[#This Row],[Project CV 1 - EXPLORE]:[Engineering CV 4 - COMMUNINCATE]],CoreValuesResults[[#This Row],[Gracious Professionalism Score]])</f>
        <v>0</v>
      </c>
      <c r="U21" s="21">
        <f>IF(CoreValuesResults[[#This Row],[Team Number]]&gt;0,MIN(_xlfn.RANK.EQ(CoreValuesResults[[#This Row],[Core Values Score]],CoreValuesResults[Core Values Score],0),NumberOfTeams),NumberOfTeams+1)</f>
        <v>9</v>
      </c>
      <c r="V21" s="35"/>
      <c r="W21" s="35"/>
    </row>
    <row r="22" spans="1:23" ht="30" customHeight="1" x14ac:dyDescent="0.25">
      <c r="A22" s="8">
        <f>_xlfn.XLOOKUP(21,OfficialTeamList[Row],OfficialTeamList[Team Number],"ERROR",0)</f>
        <v>0</v>
      </c>
      <c r="B22" s="20" t="str">
        <f>_xlfn.XLOOKUP(CoreValuesResults[[#This Row],[Team Number]],OfficialTeamList[Team Number],OfficialTeamList[Team Name],"",0,)</f>
        <v/>
      </c>
      <c r="C22" s="66">
        <f>_xlfn.XLOOKUP(CoreValuesResults[[#This Row],[Team Number]],InnovationProjectResults[Team Number],InnovationProjectResults[Explore 2 (CV)])</f>
        <v>0</v>
      </c>
      <c r="D22" s="66">
        <f>_xlfn.XLOOKUP(CoreValuesResults[[#This Row],[Team Number]],InnovationProjectResults[Team Number],InnovationProjectResults[Ideate 3 (CV)])</f>
        <v>0</v>
      </c>
      <c r="E22" s="66">
        <f>_xlfn.XLOOKUP(CoreValuesResults[[#This Row],[Team Number]],InnovationProjectResults[Team Number],InnovationProjectResults[Implement 1 (CV)])</f>
        <v>0</v>
      </c>
      <c r="F22" s="66">
        <f>_xlfn.XLOOKUP(CoreValuesResults[[#This Row],[Team Number]],InnovationProjectResults[Team Number],InnovationProjectResults[Communicate 2 (CV)])</f>
        <v>0</v>
      </c>
      <c r="G22" s="66">
        <f>_xlfn.XLOOKUP(CoreValuesResults[[#This Row],[Team Number]],RobotDesignResults[Team Number],RobotDesignResults[Identify 2 (CV)])</f>
        <v>0</v>
      </c>
      <c r="H22" s="66">
        <f>_xlfn.XLOOKUP(CoreValuesResults[[#This Row],[Team Number]],RobotDesignResults[Team Number],RobotDesignResults[Iterate 3 (CV)])</f>
        <v>0</v>
      </c>
      <c r="I22" s="66">
        <f>_xlfn.XLOOKUP(CoreValuesResults[[#This Row],[Team Number]],RobotDesignResults[Team Number],RobotDesignResults[Communicate 1 (CV)])</f>
        <v>0</v>
      </c>
      <c r="J22" s="66">
        <f>_xlfn.XLOOKUP(CoreValuesResults[[#This Row],[Team Number]],RobotDesignResults[Team Number],RobotDesignResults[Communicate 2 (CV)])</f>
        <v>0</v>
      </c>
      <c r="K22" s="12"/>
      <c r="L22" s="12"/>
      <c r="M22" s="12"/>
      <c r="N22" s="12"/>
      <c r="O22" s="12"/>
      <c r="P22" s="12"/>
      <c r="Q22" s="8" t="str">
        <f>IF(CoreValuesResults[[#This Row],[Gracious Professionalism 1]]="","",COUNTIF(CoreValuesResults[[#This Row],[Gracious Professionalism 1]:[Gracious Professionalism 5]],""))</f>
        <v/>
      </c>
      <c r="R22" s="8" t="str">
        <f>IF(CoreValuesResults[[#This Row],[Gracious Professionalism 1]]="","",SUM(CoreValuesResults[[#This Row],[Gracious Professionalism 1]:[Gracious Professionalism 5]]))</f>
        <v/>
      </c>
      <c r="S22"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2" s="34">
        <f>SUM(CoreValuesResults[[#This Row],[Project CV 1 - EXPLORE]:[Engineering CV 4 - COMMUNINCATE]],CoreValuesResults[[#This Row],[Gracious Professionalism Score]])</f>
        <v>0</v>
      </c>
      <c r="U22" s="21">
        <f>IF(CoreValuesResults[[#This Row],[Team Number]]&gt;0,MIN(_xlfn.RANK.EQ(CoreValuesResults[[#This Row],[Core Values Score]],CoreValuesResults[Core Values Score],0),NumberOfTeams),NumberOfTeams+1)</f>
        <v>9</v>
      </c>
      <c r="V22" s="35"/>
      <c r="W22" s="35"/>
    </row>
    <row r="23" spans="1:23" ht="30" customHeight="1" x14ac:dyDescent="0.25">
      <c r="A23" s="8">
        <f>_xlfn.XLOOKUP(22,OfficialTeamList[Row],OfficialTeamList[Team Number],"ERROR",0)</f>
        <v>0</v>
      </c>
      <c r="B23" s="20" t="str">
        <f>_xlfn.XLOOKUP(CoreValuesResults[[#This Row],[Team Number]],OfficialTeamList[Team Number],OfficialTeamList[Team Name],"",0,)</f>
        <v/>
      </c>
      <c r="C23" s="66">
        <f>_xlfn.XLOOKUP(CoreValuesResults[[#This Row],[Team Number]],InnovationProjectResults[Team Number],InnovationProjectResults[Explore 2 (CV)])</f>
        <v>0</v>
      </c>
      <c r="D23" s="66">
        <f>_xlfn.XLOOKUP(CoreValuesResults[[#This Row],[Team Number]],InnovationProjectResults[Team Number],InnovationProjectResults[Ideate 3 (CV)])</f>
        <v>0</v>
      </c>
      <c r="E23" s="66">
        <f>_xlfn.XLOOKUP(CoreValuesResults[[#This Row],[Team Number]],InnovationProjectResults[Team Number],InnovationProjectResults[Implement 1 (CV)])</f>
        <v>0</v>
      </c>
      <c r="F23" s="66">
        <f>_xlfn.XLOOKUP(CoreValuesResults[[#This Row],[Team Number]],InnovationProjectResults[Team Number],InnovationProjectResults[Communicate 2 (CV)])</f>
        <v>0</v>
      </c>
      <c r="G23" s="66">
        <f>_xlfn.XLOOKUP(CoreValuesResults[[#This Row],[Team Number]],RobotDesignResults[Team Number],RobotDesignResults[Identify 2 (CV)])</f>
        <v>0</v>
      </c>
      <c r="H23" s="66">
        <f>_xlfn.XLOOKUP(CoreValuesResults[[#This Row],[Team Number]],RobotDesignResults[Team Number],RobotDesignResults[Iterate 3 (CV)])</f>
        <v>0</v>
      </c>
      <c r="I23" s="66">
        <f>_xlfn.XLOOKUP(CoreValuesResults[[#This Row],[Team Number]],RobotDesignResults[Team Number],RobotDesignResults[Communicate 1 (CV)])</f>
        <v>0</v>
      </c>
      <c r="J23" s="66">
        <f>_xlfn.XLOOKUP(CoreValuesResults[[#This Row],[Team Number]],RobotDesignResults[Team Number],RobotDesignResults[Communicate 2 (CV)])</f>
        <v>0</v>
      </c>
      <c r="K23" s="12"/>
      <c r="L23" s="12"/>
      <c r="M23" s="12"/>
      <c r="N23" s="12"/>
      <c r="O23" s="12"/>
      <c r="P23" s="12"/>
      <c r="Q23" s="8" t="str">
        <f>IF(CoreValuesResults[[#This Row],[Gracious Professionalism 1]]="","",COUNTIF(CoreValuesResults[[#This Row],[Gracious Professionalism 1]:[Gracious Professionalism 5]],""))</f>
        <v/>
      </c>
      <c r="R23" s="8" t="str">
        <f>IF(CoreValuesResults[[#This Row],[Gracious Professionalism 1]]="","",SUM(CoreValuesResults[[#This Row],[Gracious Professionalism 1]:[Gracious Professionalism 5]]))</f>
        <v/>
      </c>
      <c r="S23"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3" s="34">
        <f>SUM(CoreValuesResults[[#This Row],[Project CV 1 - EXPLORE]:[Engineering CV 4 - COMMUNINCATE]],CoreValuesResults[[#This Row],[Gracious Professionalism Score]])</f>
        <v>0</v>
      </c>
      <c r="U23" s="21">
        <f>IF(CoreValuesResults[[#This Row],[Team Number]]&gt;0,MIN(_xlfn.RANK.EQ(CoreValuesResults[[#This Row],[Core Values Score]],CoreValuesResults[Core Values Score],0),NumberOfTeams),NumberOfTeams+1)</f>
        <v>9</v>
      </c>
      <c r="V23" s="35"/>
      <c r="W23" s="35"/>
    </row>
    <row r="24" spans="1:23" ht="30" customHeight="1" x14ac:dyDescent="0.25">
      <c r="A24" s="8">
        <f>_xlfn.XLOOKUP(23,OfficialTeamList[Row],OfficialTeamList[Team Number],"ERROR",0)</f>
        <v>0</v>
      </c>
      <c r="B24" s="20" t="str">
        <f>_xlfn.XLOOKUP(CoreValuesResults[[#This Row],[Team Number]],OfficialTeamList[Team Number],OfficialTeamList[Team Name],"",0,)</f>
        <v/>
      </c>
      <c r="C24" s="66">
        <f>_xlfn.XLOOKUP(CoreValuesResults[[#This Row],[Team Number]],InnovationProjectResults[Team Number],InnovationProjectResults[Explore 2 (CV)])</f>
        <v>0</v>
      </c>
      <c r="D24" s="66">
        <f>_xlfn.XLOOKUP(CoreValuesResults[[#This Row],[Team Number]],InnovationProjectResults[Team Number],InnovationProjectResults[Ideate 3 (CV)])</f>
        <v>0</v>
      </c>
      <c r="E24" s="66">
        <f>_xlfn.XLOOKUP(CoreValuesResults[[#This Row],[Team Number]],InnovationProjectResults[Team Number],InnovationProjectResults[Implement 1 (CV)])</f>
        <v>0</v>
      </c>
      <c r="F24" s="66">
        <f>_xlfn.XLOOKUP(CoreValuesResults[[#This Row],[Team Number]],InnovationProjectResults[Team Number],InnovationProjectResults[Communicate 2 (CV)])</f>
        <v>0</v>
      </c>
      <c r="G24" s="66">
        <f>_xlfn.XLOOKUP(CoreValuesResults[[#This Row],[Team Number]],RobotDesignResults[Team Number],RobotDesignResults[Identify 2 (CV)])</f>
        <v>0</v>
      </c>
      <c r="H24" s="66">
        <f>_xlfn.XLOOKUP(CoreValuesResults[[#This Row],[Team Number]],RobotDesignResults[Team Number],RobotDesignResults[Iterate 3 (CV)])</f>
        <v>0</v>
      </c>
      <c r="I24" s="66">
        <f>_xlfn.XLOOKUP(CoreValuesResults[[#This Row],[Team Number]],RobotDesignResults[Team Number],RobotDesignResults[Communicate 1 (CV)])</f>
        <v>0</v>
      </c>
      <c r="J24" s="66">
        <f>_xlfn.XLOOKUP(CoreValuesResults[[#This Row],[Team Number]],RobotDesignResults[Team Number],RobotDesignResults[Communicate 2 (CV)])</f>
        <v>0</v>
      </c>
      <c r="K24" s="12"/>
      <c r="L24" s="12"/>
      <c r="M24" s="12"/>
      <c r="N24" s="12"/>
      <c r="O24" s="12"/>
      <c r="P24" s="12"/>
      <c r="Q24" s="8" t="str">
        <f>IF(CoreValuesResults[[#This Row],[Gracious Professionalism 1]]="","",COUNTIF(CoreValuesResults[[#This Row],[Gracious Professionalism 1]:[Gracious Professionalism 5]],""))</f>
        <v/>
      </c>
      <c r="R24" s="8" t="str">
        <f>IF(CoreValuesResults[[#This Row],[Gracious Professionalism 1]]="","",SUM(CoreValuesResults[[#This Row],[Gracious Professionalism 1]:[Gracious Professionalism 5]]))</f>
        <v/>
      </c>
      <c r="S24"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4" s="34">
        <f>SUM(CoreValuesResults[[#This Row],[Project CV 1 - EXPLORE]:[Engineering CV 4 - COMMUNINCATE]],CoreValuesResults[[#This Row],[Gracious Professionalism Score]])</f>
        <v>0</v>
      </c>
      <c r="U24" s="21">
        <f>IF(CoreValuesResults[[#This Row],[Team Number]]&gt;0,MIN(_xlfn.RANK.EQ(CoreValuesResults[[#This Row],[Core Values Score]],CoreValuesResults[Core Values Score],0),NumberOfTeams),NumberOfTeams+1)</f>
        <v>9</v>
      </c>
      <c r="V24" s="35"/>
      <c r="W24" s="35"/>
    </row>
    <row r="25" spans="1:23" ht="30" customHeight="1" x14ac:dyDescent="0.25">
      <c r="A25" s="8">
        <f>_xlfn.XLOOKUP(24,OfficialTeamList[Row],OfficialTeamList[Team Number],"ERROR",0)</f>
        <v>0</v>
      </c>
      <c r="B25" s="20" t="str">
        <f>_xlfn.XLOOKUP(CoreValuesResults[[#This Row],[Team Number]],OfficialTeamList[Team Number],OfficialTeamList[Team Name],"",0,)</f>
        <v/>
      </c>
      <c r="C25" s="66">
        <f>_xlfn.XLOOKUP(CoreValuesResults[[#This Row],[Team Number]],InnovationProjectResults[Team Number],InnovationProjectResults[Explore 2 (CV)])</f>
        <v>0</v>
      </c>
      <c r="D25" s="66">
        <f>_xlfn.XLOOKUP(CoreValuesResults[[#This Row],[Team Number]],InnovationProjectResults[Team Number],InnovationProjectResults[Ideate 3 (CV)])</f>
        <v>0</v>
      </c>
      <c r="E25" s="66">
        <f>_xlfn.XLOOKUP(CoreValuesResults[[#This Row],[Team Number]],InnovationProjectResults[Team Number],InnovationProjectResults[Implement 1 (CV)])</f>
        <v>0</v>
      </c>
      <c r="F25" s="66">
        <f>_xlfn.XLOOKUP(CoreValuesResults[[#This Row],[Team Number]],InnovationProjectResults[Team Number],InnovationProjectResults[Communicate 2 (CV)])</f>
        <v>0</v>
      </c>
      <c r="G25" s="66">
        <f>_xlfn.XLOOKUP(CoreValuesResults[[#This Row],[Team Number]],RobotDesignResults[Team Number],RobotDesignResults[Identify 2 (CV)])</f>
        <v>0</v>
      </c>
      <c r="H25" s="66">
        <f>_xlfn.XLOOKUP(CoreValuesResults[[#This Row],[Team Number]],RobotDesignResults[Team Number],RobotDesignResults[Iterate 3 (CV)])</f>
        <v>0</v>
      </c>
      <c r="I25" s="66">
        <f>_xlfn.XLOOKUP(CoreValuesResults[[#This Row],[Team Number]],RobotDesignResults[Team Number],RobotDesignResults[Communicate 1 (CV)])</f>
        <v>0</v>
      </c>
      <c r="J25" s="66">
        <f>_xlfn.XLOOKUP(CoreValuesResults[[#This Row],[Team Number]],RobotDesignResults[Team Number],RobotDesignResults[Communicate 2 (CV)])</f>
        <v>0</v>
      </c>
      <c r="K25" s="12"/>
      <c r="L25" s="12"/>
      <c r="M25" s="12"/>
      <c r="N25" s="12"/>
      <c r="O25" s="12"/>
      <c r="P25" s="12"/>
      <c r="Q25" s="8" t="str">
        <f>IF(CoreValuesResults[[#This Row],[Gracious Professionalism 1]]="","",COUNTIF(CoreValuesResults[[#This Row],[Gracious Professionalism 1]:[Gracious Professionalism 5]],""))</f>
        <v/>
      </c>
      <c r="R25" s="8" t="str">
        <f>IF(CoreValuesResults[[#This Row],[Gracious Professionalism 1]]="","",SUM(CoreValuesResults[[#This Row],[Gracious Professionalism 1]:[Gracious Professionalism 5]]))</f>
        <v/>
      </c>
      <c r="S25"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5" s="34">
        <f>SUM(CoreValuesResults[[#This Row],[Project CV 1 - EXPLORE]:[Engineering CV 4 - COMMUNINCATE]],CoreValuesResults[[#This Row],[Gracious Professionalism Score]])</f>
        <v>0</v>
      </c>
      <c r="U25" s="21">
        <f>IF(CoreValuesResults[[#This Row],[Team Number]]&gt;0,MIN(_xlfn.RANK.EQ(CoreValuesResults[[#This Row],[Core Values Score]],CoreValuesResults[Core Values Score],0),NumberOfTeams),NumberOfTeams+1)</f>
        <v>9</v>
      </c>
      <c r="V25" s="35"/>
      <c r="W25" s="35"/>
    </row>
    <row r="26" spans="1:23" ht="30" customHeight="1" x14ac:dyDescent="0.25">
      <c r="A26" s="8">
        <f>_xlfn.XLOOKUP(25,OfficialTeamList[Row],OfficialTeamList[Team Number],"ERROR",0)</f>
        <v>0</v>
      </c>
      <c r="B26" s="20" t="str">
        <f>_xlfn.XLOOKUP(CoreValuesResults[[#This Row],[Team Number]],OfficialTeamList[Team Number],OfficialTeamList[Team Name],"",0,)</f>
        <v/>
      </c>
      <c r="C26" s="66">
        <f>_xlfn.XLOOKUP(CoreValuesResults[[#This Row],[Team Number]],InnovationProjectResults[Team Number],InnovationProjectResults[Explore 2 (CV)])</f>
        <v>0</v>
      </c>
      <c r="D26" s="66">
        <f>_xlfn.XLOOKUP(CoreValuesResults[[#This Row],[Team Number]],InnovationProjectResults[Team Number],InnovationProjectResults[Ideate 3 (CV)])</f>
        <v>0</v>
      </c>
      <c r="E26" s="66">
        <f>_xlfn.XLOOKUP(CoreValuesResults[[#This Row],[Team Number]],InnovationProjectResults[Team Number],InnovationProjectResults[Implement 1 (CV)])</f>
        <v>0</v>
      </c>
      <c r="F26" s="66">
        <f>_xlfn.XLOOKUP(CoreValuesResults[[#This Row],[Team Number]],InnovationProjectResults[Team Number],InnovationProjectResults[Communicate 2 (CV)])</f>
        <v>0</v>
      </c>
      <c r="G26" s="66">
        <f>_xlfn.XLOOKUP(CoreValuesResults[[#This Row],[Team Number]],RobotDesignResults[Team Number],RobotDesignResults[Identify 2 (CV)])</f>
        <v>0</v>
      </c>
      <c r="H26" s="66">
        <f>_xlfn.XLOOKUP(CoreValuesResults[[#This Row],[Team Number]],RobotDesignResults[Team Number],RobotDesignResults[Iterate 3 (CV)])</f>
        <v>0</v>
      </c>
      <c r="I26" s="66">
        <f>_xlfn.XLOOKUP(CoreValuesResults[[#This Row],[Team Number]],RobotDesignResults[Team Number],RobotDesignResults[Communicate 1 (CV)])</f>
        <v>0</v>
      </c>
      <c r="J26" s="66">
        <f>_xlfn.XLOOKUP(CoreValuesResults[[#This Row],[Team Number]],RobotDesignResults[Team Number],RobotDesignResults[Communicate 2 (CV)])</f>
        <v>0</v>
      </c>
      <c r="K26" s="12"/>
      <c r="L26" s="12"/>
      <c r="M26" s="12"/>
      <c r="N26" s="12"/>
      <c r="O26" s="12"/>
      <c r="P26" s="12"/>
      <c r="Q26" s="8" t="str">
        <f>IF(CoreValuesResults[[#This Row],[Gracious Professionalism 1]]="","",COUNTIF(CoreValuesResults[[#This Row],[Gracious Professionalism 1]:[Gracious Professionalism 5]],""))</f>
        <v/>
      </c>
      <c r="R26" s="8" t="str">
        <f>IF(CoreValuesResults[[#This Row],[Gracious Professionalism 1]]="","",SUM(CoreValuesResults[[#This Row],[Gracious Professionalism 1]:[Gracious Professionalism 5]]))</f>
        <v/>
      </c>
      <c r="S26"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6" s="34">
        <f>SUM(CoreValuesResults[[#This Row],[Project CV 1 - EXPLORE]:[Engineering CV 4 - COMMUNINCATE]],CoreValuesResults[[#This Row],[Gracious Professionalism Score]])</f>
        <v>0</v>
      </c>
      <c r="U26" s="21">
        <f>IF(CoreValuesResults[[#This Row],[Team Number]]&gt;0,MIN(_xlfn.RANK.EQ(CoreValuesResults[[#This Row],[Core Values Score]],CoreValuesResults[Core Values Score],0),NumberOfTeams),NumberOfTeams+1)</f>
        <v>9</v>
      </c>
      <c r="V26" s="35"/>
      <c r="W26" s="35"/>
    </row>
    <row r="27" spans="1:23" ht="30" customHeight="1" x14ac:dyDescent="0.25">
      <c r="A27" s="8">
        <f>_xlfn.XLOOKUP(26,OfficialTeamList[Row],OfficialTeamList[Team Number],"ERROR",0)</f>
        <v>0</v>
      </c>
      <c r="B27" s="20" t="str">
        <f>_xlfn.XLOOKUP(CoreValuesResults[[#This Row],[Team Number]],OfficialTeamList[Team Number],OfficialTeamList[Team Name],"",0,)</f>
        <v/>
      </c>
      <c r="C27" s="66">
        <f>_xlfn.XLOOKUP(CoreValuesResults[[#This Row],[Team Number]],InnovationProjectResults[Team Number],InnovationProjectResults[Explore 2 (CV)])</f>
        <v>0</v>
      </c>
      <c r="D27" s="66">
        <f>_xlfn.XLOOKUP(CoreValuesResults[[#This Row],[Team Number]],InnovationProjectResults[Team Number],InnovationProjectResults[Ideate 3 (CV)])</f>
        <v>0</v>
      </c>
      <c r="E27" s="66">
        <f>_xlfn.XLOOKUP(CoreValuesResults[[#This Row],[Team Number]],InnovationProjectResults[Team Number],InnovationProjectResults[Implement 1 (CV)])</f>
        <v>0</v>
      </c>
      <c r="F27" s="66">
        <f>_xlfn.XLOOKUP(CoreValuesResults[[#This Row],[Team Number]],InnovationProjectResults[Team Number],InnovationProjectResults[Communicate 2 (CV)])</f>
        <v>0</v>
      </c>
      <c r="G27" s="66">
        <f>_xlfn.XLOOKUP(CoreValuesResults[[#This Row],[Team Number]],RobotDesignResults[Team Number],RobotDesignResults[Identify 2 (CV)])</f>
        <v>0</v>
      </c>
      <c r="H27" s="66">
        <f>_xlfn.XLOOKUP(CoreValuesResults[[#This Row],[Team Number]],RobotDesignResults[Team Number],RobotDesignResults[Iterate 3 (CV)])</f>
        <v>0</v>
      </c>
      <c r="I27" s="66">
        <f>_xlfn.XLOOKUP(CoreValuesResults[[#This Row],[Team Number]],RobotDesignResults[Team Number],RobotDesignResults[Communicate 1 (CV)])</f>
        <v>0</v>
      </c>
      <c r="J27" s="66">
        <f>_xlfn.XLOOKUP(CoreValuesResults[[#This Row],[Team Number]],RobotDesignResults[Team Number],RobotDesignResults[Communicate 2 (CV)])</f>
        <v>0</v>
      </c>
      <c r="K27" s="12"/>
      <c r="L27" s="12"/>
      <c r="M27" s="12"/>
      <c r="N27" s="12"/>
      <c r="O27" s="12"/>
      <c r="P27" s="12"/>
      <c r="Q27" s="8" t="str">
        <f>IF(CoreValuesResults[[#This Row],[Gracious Professionalism 1]]="","",COUNTIF(CoreValuesResults[[#This Row],[Gracious Professionalism 1]:[Gracious Professionalism 5]],""))</f>
        <v/>
      </c>
      <c r="R27" s="8" t="str">
        <f>IF(CoreValuesResults[[#This Row],[Gracious Professionalism 1]]="","",SUM(CoreValuesResults[[#This Row],[Gracious Professionalism 1]:[Gracious Professionalism 5]]))</f>
        <v/>
      </c>
      <c r="S27"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7" s="34">
        <f>SUM(CoreValuesResults[[#This Row],[Project CV 1 - EXPLORE]:[Engineering CV 4 - COMMUNINCATE]],CoreValuesResults[[#This Row],[Gracious Professionalism Score]])</f>
        <v>0</v>
      </c>
      <c r="U27" s="21">
        <f>IF(CoreValuesResults[[#This Row],[Team Number]]&gt;0,MIN(_xlfn.RANK.EQ(CoreValuesResults[[#This Row],[Core Values Score]],CoreValuesResults[Core Values Score],0),NumberOfTeams),NumberOfTeams+1)</f>
        <v>9</v>
      </c>
      <c r="V27" s="35"/>
      <c r="W27" s="35"/>
    </row>
    <row r="28" spans="1:23" ht="30" customHeight="1" x14ac:dyDescent="0.25">
      <c r="A28" s="8">
        <f>_xlfn.XLOOKUP(27,OfficialTeamList[Row],OfficialTeamList[Team Number],"ERROR",0)</f>
        <v>0</v>
      </c>
      <c r="B28" s="20" t="str">
        <f>_xlfn.XLOOKUP(CoreValuesResults[[#This Row],[Team Number]],OfficialTeamList[Team Number],OfficialTeamList[Team Name],"",0,)</f>
        <v/>
      </c>
      <c r="C28" s="66">
        <f>_xlfn.XLOOKUP(CoreValuesResults[[#This Row],[Team Number]],InnovationProjectResults[Team Number],InnovationProjectResults[Explore 2 (CV)])</f>
        <v>0</v>
      </c>
      <c r="D28" s="66">
        <f>_xlfn.XLOOKUP(CoreValuesResults[[#This Row],[Team Number]],InnovationProjectResults[Team Number],InnovationProjectResults[Ideate 3 (CV)])</f>
        <v>0</v>
      </c>
      <c r="E28" s="66">
        <f>_xlfn.XLOOKUP(CoreValuesResults[[#This Row],[Team Number]],InnovationProjectResults[Team Number],InnovationProjectResults[Implement 1 (CV)])</f>
        <v>0</v>
      </c>
      <c r="F28" s="66">
        <f>_xlfn.XLOOKUP(CoreValuesResults[[#This Row],[Team Number]],InnovationProjectResults[Team Number],InnovationProjectResults[Communicate 2 (CV)])</f>
        <v>0</v>
      </c>
      <c r="G28" s="66">
        <f>_xlfn.XLOOKUP(CoreValuesResults[[#This Row],[Team Number]],RobotDesignResults[Team Number],RobotDesignResults[Identify 2 (CV)])</f>
        <v>0</v>
      </c>
      <c r="H28" s="66">
        <f>_xlfn.XLOOKUP(CoreValuesResults[[#This Row],[Team Number]],RobotDesignResults[Team Number],RobotDesignResults[Iterate 3 (CV)])</f>
        <v>0</v>
      </c>
      <c r="I28" s="66">
        <f>_xlfn.XLOOKUP(CoreValuesResults[[#This Row],[Team Number]],RobotDesignResults[Team Number],RobotDesignResults[Communicate 1 (CV)])</f>
        <v>0</v>
      </c>
      <c r="J28" s="66">
        <f>_xlfn.XLOOKUP(CoreValuesResults[[#This Row],[Team Number]],RobotDesignResults[Team Number],RobotDesignResults[Communicate 2 (CV)])</f>
        <v>0</v>
      </c>
      <c r="K28" s="12"/>
      <c r="L28" s="12"/>
      <c r="M28" s="12"/>
      <c r="N28" s="12"/>
      <c r="O28" s="12"/>
      <c r="P28" s="12"/>
      <c r="Q28" s="8" t="str">
        <f>IF(CoreValuesResults[[#This Row],[Gracious Professionalism 1]]="","",COUNTIF(CoreValuesResults[[#This Row],[Gracious Professionalism 1]:[Gracious Professionalism 5]],""))</f>
        <v/>
      </c>
      <c r="R28" s="8" t="str">
        <f>IF(CoreValuesResults[[#This Row],[Gracious Professionalism 1]]="","",SUM(CoreValuesResults[[#This Row],[Gracious Professionalism 1]:[Gracious Professionalism 5]]))</f>
        <v/>
      </c>
      <c r="S28"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8" s="34">
        <f>SUM(CoreValuesResults[[#This Row],[Project CV 1 - EXPLORE]:[Engineering CV 4 - COMMUNINCATE]],CoreValuesResults[[#This Row],[Gracious Professionalism Score]])</f>
        <v>0</v>
      </c>
      <c r="U28" s="21">
        <f>IF(CoreValuesResults[[#This Row],[Team Number]]&gt;0,MIN(_xlfn.RANK.EQ(CoreValuesResults[[#This Row],[Core Values Score]],CoreValuesResults[Core Values Score],0),NumberOfTeams),NumberOfTeams+1)</f>
        <v>9</v>
      </c>
      <c r="V28" s="35"/>
      <c r="W28" s="35"/>
    </row>
    <row r="29" spans="1:23" ht="30" customHeight="1" x14ac:dyDescent="0.25">
      <c r="A29" s="8">
        <f>_xlfn.XLOOKUP(28,OfficialTeamList[Row],OfficialTeamList[Team Number],"ERROR",0)</f>
        <v>0</v>
      </c>
      <c r="B29" s="20" t="str">
        <f>_xlfn.XLOOKUP(CoreValuesResults[[#This Row],[Team Number]],OfficialTeamList[Team Number],OfficialTeamList[Team Name],"",0,)</f>
        <v/>
      </c>
      <c r="C29" s="66">
        <f>_xlfn.XLOOKUP(CoreValuesResults[[#This Row],[Team Number]],InnovationProjectResults[Team Number],InnovationProjectResults[Explore 2 (CV)])</f>
        <v>0</v>
      </c>
      <c r="D29" s="66">
        <f>_xlfn.XLOOKUP(CoreValuesResults[[#This Row],[Team Number]],InnovationProjectResults[Team Number],InnovationProjectResults[Ideate 3 (CV)])</f>
        <v>0</v>
      </c>
      <c r="E29" s="66">
        <f>_xlfn.XLOOKUP(CoreValuesResults[[#This Row],[Team Number]],InnovationProjectResults[Team Number],InnovationProjectResults[Implement 1 (CV)])</f>
        <v>0</v>
      </c>
      <c r="F29" s="66">
        <f>_xlfn.XLOOKUP(CoreValuesResults[[#This Row],[Team Number]],InnovationProjectResults[Team Number],InnovationProjectResults[Communicate 2 (CV)])</f>
        <v>0</v>
      </c>
      <c r="G29" s="66">
        <f>_xlfn.XLOOKUP(CoreValuesResults[[#This Row],[Team Number]],RobotDesignResults[Team Number],RobotDesignResults[Identify 2 (CV)])</f>
        <v>0</v>
      </c>
      <c r="H29" s="66">
        <f>_xlfn.XLOOKUP(CoreValuesResults[[#This Row],[Team Number]],RobotDesignResults[Team Number],RobotDesignResults[Iterate 3 (CV)])</f>
        <v>0</v>
      </c>
      <c r="I29" s="66">
        <f>_xlfn.XLOOKUP(CoreValuesResults[[#This Row],[Team Number]],RobotDesignResults[Team Number],RobotDesignResults[Communicate 1 (CV)])</f>
        <v>0</v>
      </c>
      <c r="J29" s="66">
        <f>_xlfn.XLOOKUP(CoreValuesResults[[#This Row],[Team Number]],RobotDesignResults[Team Number],RobotDesignResults[Communicate 2 (CV)])</f>
        <v>0</v>
      </c>
      <c r="K29" s="12"/>
      <c r="L29" s="12"/>
      <c r="M29" s="12"/>
      <c r="N29" s="12"/>
      <c r="O29" s="12"/>
      <c r="P29" s="12"/>
      <c r="Q29" s="8" t="str">
        <f>IF(CoreValuesResults[[#This Row],[Gracious Professionalism 1]]="","",COUNTIF(CoreValuesResults[[#This Row],[Gracious Professionalism 1]:[Gracious Professionalism 5]],""))</f>
        <v/>
      </c>
      <c r="R29" s="8" t="str">
        <f>IF(CoreValuesResults[[#This Row],[Gracious Professionalism 1]]="","",SUM(CoreValuesResults[[#This Row],[Gracious Professionalism 1]:[Gracious Professionalism 5]]))</f>
        <v/>
      </c>
      <c r="S29"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9" s="34">
        <f>SUM(CoreValuesResults[[#This Row],[Project CV 1 - EXPLORE]:[Engineering CV 4 - COMMUNINCATE]],CoreValuesResults[[#This Row],[Gracious Professionalism Score]])</f>
        <v>0</v>
      </c>
      <c r="U29" s="21">
        <f>IF(CoreValuesResults[[#This Row],[Team Number]]&gt;0,MIN(_xlfn.RANK.EQ(CoreValuesResults[[#This Row],[Core Values Score]],CoreValuesResults[Core Values Score],0),NumberOfTeams),NumberOfTeams+1)</f>
        <v>9</v>
      </c>
      <c r="V29" s="35"/>
      <c r="W29" s="35"/>
    </row>
    <row r="30" spans="1:23" ht="30" customHeight="1" x14ac:dyDescent="0.25">
      <c r="A30" s="8">
        <f>_xlfn.XLOOKUP(29,OfficialTeamList[Row],OfficialTeamList[Team Number],"ERROR",0)</f>
        <v>0</v>
      </c>
      <c r="B30" s="20" t="str">
        <f>_xlfn.XLOOKUP(CoreValuesResults[[#This Row],[Team Number]],OfficialTeamList[Team Number],OfficialTeamList[Team Name],"",0,)</f>
        <v/>
      </c>
      <c r="C30" s="66">
        <f>_xlfn.XLOOKUP(CoreValuesResults[[#This Row],[Team Number]],InnovationProjectResults[Team Number],InnovationProjectResults[Explore 2 (CV)])</f>
        <v>0</v>
      </c>
      <c r="D30" s="66">
        <f>_xlfn.XLOOKUP(CoreValuesResults[[#This Row],[Team Number]],InnovationProjectResults[Team Number],InnovationProjectResults[Ideate 3 (CV)])</f>
        <v>0</v>
      </c>
      <c r="E30" s="66">
        <f>_xlfn.XLOOKUP(CoreValuesResults[[#This Row],[Team Number]],InnovationProjectResults[Team Number],InnovationProjectResults[Implement 1 (CV)])</f>
        <v>0</v>
      </c>
      <c r="F30" s="66">
        <f>_xlfn.XLOOKUP(CoreValuesResults[[#This Row],[Team Number]],InnovationProjectResults[Team Number],InnovationProjectResults[Communicate 2 (CV)])</f>
        <v>0</v>
      </c>
      <c r="G30" s="66">
        <f>_xlfn.XLOOKUP(CoreValuesResults[[#This Row],[Team Number]],RobotDesignResults[Team Number],RobotDesignResults[Identify 2 (CV)])</f>
        <v>0</v>
      </c>
      <c r="H30" s="66">
        <f>_xlfn.XLOOKUP(CoreValuesResults[[#This Row],[Team Number]],RobotDesignResults[Team Number],RobotDesignResults[Iterate 3 (CV)])</f>
        <v>0</v>
      </c>
      <c r="I30" s="66">
        <f>_xlfn.XLOOKUP(CoreValuesResults[[#This Row],[Team Number]],RobotDesignResults[Team Number],RobotDesignResults[Communicate 1 (CV)])</f>
        <v>0</v>
      </c>
      <c r="J30" s="66">
        <f>_xlfn.XLOOKUP(CoreValuesResults[[#This Row],[Team Number]],RobotDesignResults[Team Number],RobotDesignResults[Communicate 2 (CV)])</f>
        <v>0</v>
      </c>
      <c r="K30" s="12"/>
      <c r="L30" s="12"/>
      <c r="M30" s="12"/>
      <c r="N30" s="12"/>
      <c r="O30" s="12"/>
      <c r="P30" s="12"/>
      <c r="Q30" s="8" t="str">
        <f>IF(CoreValuesResults[[#This Row],[Gracious Professionalism 1]]="","",COUNTIF(CoreValuesResults[[#This Row],[Gracious Professionalism 1]:[Gracious Professionalism 5]],""))</f>
        <v/>
      </c>
      <c r="R30" s="8" t="str">
        <f>IF(CoreValuesResults[[#This Row],[Gracious Professionalism 1]]="","",SUM(CoreValuesResults[[#This Row],[Gracious Professionalism 1]:[Gracious Professionalism 5]]))</f>
        <v/>
      </c>
      <c r="S30"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30" s="34">
        <f>SUM(CoreValuesResults[[#This Row],[Project CV 1 - EXPLORE]:[Engineering CV 4 - COMMUNINCATE]],CoreValuesResults[[#This Row],[Gracious Professionalism Score]])</f>
        <v>0</v>
      </c>
      <c r="U30" s="21">
        <f>IF(CoreValuesResults[[#This Row],[Team Number]]&gt;0,MIN(_xlfn.RANK.EQ(CoreValuesResults[[#This Row],[Core Values Score]],CoreValuesResults[Core Values Score],0),NumberOfTeams),NumberOfTeams+1)</f>
        <v>9</v>
      </c>
      <c r="V30" s="35"/>
      <c r="W30" s="35"/>
    </row>
    <row r="31" spans="1:23" ht="30" customHeight="1" x14ac:dyDescent="0.25">
      <c r="A31" s="8">
        <f>_xlfn.XLOOKUP(30,OfficialTeamList[Row],OfficialTeamList[Team Number],"ERROR",0)</f>
        <v>0</v>
      </c>
      <c r="B31" s="20" t="str">
        <f>_xlfn.XLOOKUP(CoreValuesResults[[#This Row],[Team Number]],OfficialTeamList[Team Number],OfficialTeamList[Team Name],"",0,)</f>
        <v/>
      </c>
      <c r="C31" s="66">
        <f>_xlfn.XLOOKUP(CoreValuesResults[[#This Row],[Team Number]],InnovationProjectResults[Team Number],InnovationProjectResults[Explore 2 (CV)])</f>
        <v>0</v>
      </c>
      <c r="D31" s="66">
        <f>_xlfn.XLOOKUP(CoreValuesResults[[#This Row],[Team Number]],InnovationProjectResults[Team Number],InnovationProjectResults[Ideate 3 (CV)])</f>
        <v>0</v>
      </c>
      <c r="E31" s="66">
        <f>_xlfn.XLOOKUP(CoreValuesResults[[#This Row],[Team Number]],InnovationProjectResults[Team Number],InnovationProjectResults[Implement 1 (CV)])</f>
        <v>0</v>
      </c>
      <c r="F31" s="66">
        <f>_xlfn.XLOOKUP(CoreValuesResults[[#This Row],[Team Number]],InnovationProjectResults[Team Number],InnovationProjectResults[Communicate 2 (CV)])</f>
        <v>0</v>
      </c>
      <c r="G31" s="66">
        <f>_xlfn.XLOOKUP(CoreValuesResults[[#This Row],[Team Number]],RobotDesignResults[Team Number],RobotDesignResults[Identify 2 (CV)])</f>
        <v>0</v>
      </c>
      <c r="H31" s="66">
        <f>_xlfn.XLOOKUP(CoreValuesResults[[#This Row],[Team Number]],RobotDesignResults[Team Number],RobotDesignResults[Iterate 3 (CV)])</f>
        <v>0</v>
      </c>
      <c r="I31" s="66">
        <f>_xlfn.XLOOKUP(CoreValuesResults[[#This Row],[Team Number]],RobotDesignResults[Team Number],RobotDesignResults[Communicate 1 (CV)])</f>
        <v>0</v>
      </c>
      <c r="J31" s="66">
        <f>_xlfn.XLOOKUP(CoreValuesResults[[#This Row],[Team Number]],RobotDesignResults[Team Number],RobotDesignResults[Communicate 2 (CV)])</f>
        <v>0</v>
      </c>
      <c r="K31" s="12"/>
      <c r="L31" s="12"/>
      <c r="M31" s="12"/>
      <c r="N31" s="12"/>
      <c r="O31" s="12"/>
      <c r="P31" s="12"/>
      <c r="Q31" s="8" t="str">
        <f>IF(CoreValuesResults[[#This Row],[Gracious Professionalism 1]]="","",COUNTIF(CoreValuesResults[[#This Row],[Gracious Professionalism 1]:[Gracious Professionalism 5]],""))</f>
        <v/>
      </c>
      <c r="R31" s="8" t="str">
        <f>IF(CoreValuesResults[[#This Row],[Gracious Professionalism 1]]="","",SUM(CoreValuesResults[[#This Row],[Gracious Professionalism 1]:[Gracious Professionalism 5]]))</f>
        <v/>
      </c>
      <c r="S31"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31" s="34">
        <f>SUM(CoreValuesResults[[#This Row],[Project CV 1 - EXPLORE]:[Engineering CV 4 - COMMUNINCATE]],CoreValuesResults[[#This Row],[Gracious Professionalism Score]])</f>
        <v>0</v>
      </c>
      <c r="U31" s="21">
        <f>IF(CoreValuesResults[[#This Row],[Team Number]]&gt;0,MIN(_xlfn.RANK.EQ(CoreValuesResults[[#This Row],[Core Values Score]],CoreValuesResults[Core Values Score],0),NumberOfTeams),NumberOfTeams+1)</f>
        <v>9</v>
      </c>
      <c r="V31" s="35"/>
      <c r="W31" s="35"/>
    </row>
    <row r="32" spans="1:23" ht="30" customHeight="1" x14ac:dyDescent="0.25">
      <c r="A32" s="8">
        <f>_xlfn.XLOOKUP(31,OfficialTeamList[Row],OfficialTeamList[Team Number],"ERROR",0)</f>
        <v>0</v>
      </c>
      <c r="B32" s="20" t="str">
        <f>_xlfn.XLOOKUP(CoreValuesResults[[#This Row],[Team Number]],OfficialTeamList[Team Number],OfficialTeamList[Team Name],"",0,)</f>
        <v/>
      </c>
      <c r="C32" s="66">
        <f>_xlfn.XLOOKUP(CoreValuesResults[[#This Row],[Team Number]],InnovationProjectResults[Team Number],InnovationProjectResults[Explore 2 (CV)])</f>
        <v>0</v>
      </c>
      <c r="D32" s="66">
        <f>_xlfn.XLOOKUP(CoreValuesResults[[#This Row],[Team Number]],InnovationProjectResults[Team Number],InnovationProjectResults[Ideate 3 (CV)])</f>
        <v>0</v>
      </c>
      <c r="E32" s="66">
        <f>_xlfn.XLOOKUP(CoreValuesResults[[#This Row],[Team Number]],InnovationProjectResults[Team Number],InnovationProjectResults[Implement 1 (CV)])</f>
        <v>0</v>
      </c>
      <c r="F32" s="66">
        <f>_xlfn.XLOOKUP(CoreValuesResults[[#This Row],[Team Number]],InnovationProjectResults[Team Number],InnovationProjectResults[Communicate 2 (CV)])</f>
        <v>0</v>
      </c>
      <c r="G32" s="66">
        <f>_xlfn.XLOOKUP(CoreValuesResults[[#This Row],[Team Number]],RobotDesignResults[Team Number],RobotDesignResults[Identify 2 (CV)])</f>
        <v>0</v>
      </c>
      <c r="H32" s="66">
        <f>_xlfn.XLOOKUP(CoreValuesResults[[#This Row],[Team Number]],RobotDesignResults[Team Number],RobotDesignResults[Iterate 3 (CV)])</f>
        <v>0</v>
      </c>
      <c r="I32" s="66">
        <f>_xlfn.XLOOKUP(CoreValuesResults[[#This Row],[Team Number]],RobotDesignResults[Team Number],RobotDesignResults[Communicate 1 (CV)])</f>
        <v>0</v>
      </c>
      <c r="J32" s="66">
        <f>_xlfn.XLOOKUP(CoreValuesResults[[#This Row],[Team Number]],RobotDesignResults[Team Number],RobotDesignResults[Communicate 2 (CV)])</f>
        <v>0</v>
      </c>
      <c r="K32" s="12"/>
      <c r="L32" s="12"/>
      <c r="M32" s="12"/>
      <c r="N32" s="12"/>
      <c r="O32" s="12"/>
      <c r="P32" s="12"/>
      <c r="Q32" s="8" t="str">
        <f>IF(CoreValuesResults[[#This Row],[Gracious Professionalism 1]]="","",COUNTIF(CoreValuesResults[[#This Row],[Gracious Professionalism 1]:[Gracious Professionalism 5]],""))</f>
        <v/>
      </c>
      <c r="R32" s="8" t="str">
        <f>IF(CoreValuesResults[[#This Row],[Gracious Professionalism 1]]="","",SUM(CoreValuesResults[[#This Row],[Gracious Professionalism 1]:[Gracious Professionalism 5]]))</f>
        <v/>
      </c>
      <c r="S32"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32" s="34">
        <f>SUM(CoreValuesResults[[#This Row],[Project CV 1 - EXPLORE]:[Engineering CV 4 - COMMUNINCATE]],CoreValuesResults[[#This Row],[Gracious Professionalism Score]])</f>
        <v>0</v>
      </c>
      <c r="U32" s="21">
        <f>IF(CoreValuesResults[[#This Row],[Team Number]]&gt;0,MIN(_xlfn.RANK.EQ(CoreValuesResults[[#This Row],[Core Values Score]],CoreValuesResults[Core Values Score],0),NumberOfTeams),NumberOfTeams+1)</f>
        <v>9</v>
      </c>
      <c r="V32" s="35"/>
      <c r="W32" s="35"/>
    </row>
    <row r="33" spans="1:23" ht="30" customHeight="1" x14ac:dyDescent="0.25">
      <c r="A33" s="8">
        <f>_xlfn.XLOOKUP(32,OfficialTeamList[Row],OfficialTeamList[Team Number],"ERROR",0)</f>
        <v>0</v>
      </c>
      <c r="B33" s="20" t="str">
        <f>_xlfn.XLOOKUP(CoreValuesResults[[#This Row],[Team Number]],OfficialTeamList[Team Number],OfficialTeamList[Team Name],"",0,)</f>
        <v/>
      </c>
      <c r="C33" s="66">
        <f>_xlfn.XLOOKUP(CoreValuesResults[[#This Row],[Team Number]],InnovationProjectResults[Team Number],InnovationProjectResults[Explore 2 (CV)])</f>
        <v>0</v>
      </c>
      <c r="D33" s="66">
        <f>_xlfn.XLOOKUP(CoreValuesResults[[#This Row],[Team Number]],InnovationProjectResults[Team Number],InnovationProjectResults[Ideate 3 (CV)])</f>
        <v>0</v>
      </c>
      <c r="E33" s="66">
        <f>_xlfn.XLOOKUP(CoreValuesResults[[#This Row],[Team Number]],InnovationProjectResults[Team Number],InnovationProjectResults[Implement 1 (CV)])</f>
        <v>0</v>
      </c>
      <c r="F33" s="66">
        <f>_xlfn.XLOOKUP(CoreValuesResults[[#This Row],[Team Number]],InnovationProjectResults[Team Number],InnovationProjectResults[Communicate 2 (CV)])</f>
        <v>0</v>
      </c>
      <c r="G33" s="66">
        <f>_xlfn.XLOOKUP(CoreValuesResults[[#This Row],[Team Number]],RobotDesignResults[Team Number],RobotDesignResults[Identify 2 (CV)])</f>
        <v>0</v>
      </c>
      <c r="H33" s="66">
        <f>_xlfn.XLOOKUP(CoreValuesResults[[#This Row],[Team Number]],RobotDesignResults[Team Number],RobotDesignResults[Iterate 3 (CV)])</f>
        <v>0</v>
      </c>
      <c r="I33" s="66">
        <f>_xlfn.XLOOKUP(CoreValuesResults[[#This Row],[Team Number]],RobotDesignResults[Team Number],RobotDesignResults[Communicate 1 (CV)])</f>
        <v>0</v>
      </c>
      <c r="J33" s="66">
        <f>_xlfn.XLOOKUP(CoreValuesResults[[#This Row],[Team Number]],RobotDesignResults[Team Number],RobotDesignResults[Communicate 2 (CV)])</f>
        <v>0</v>
      </c>
      <c r="K33" s="12"/>
      <c r="L33" s="12"/>
      <c r="M33" s="12"/>
      <c r="N33" s="12"/>
      <c r="O33" s="12"/>
      <c r="P33" s="12"/>
      <c r="Q33" s="8" t="str">
        <f>IF(CoreValuesResults[[#This Row],[Gracious Professionalism 1]]="","",COUNTIF(CoreValuesResults[[#This Row],[Gracious Professionalism 1]:[Gracious Professionalism 5]],""))</f>
        <v/>
      </c>
      <c r="R33" s="8" t="str">
        <f>IF(CoreValuesResults[[#This Row],[Gracious Professionalism 1]]="","",SUM(CoreValuesResults[[#This Row],[Gracious Professionalism 1]:[Gracious Professionalism 5]]))</f>
        <v/>
      </c>
      <c r="S33"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33" s="34">
        <f>SUM(CoreValuesResults[[#This Row],[Project CV 1 - EXPLORE]:[Engineering CV 4 - COMMUNINCATE]],CoreValuesResults[[#This Row],[Gracious Professionalism Score]])</f>
        <v>0</v>
      </c>
      <c r="U33" s="21">
        <f>IF(CoreValuesResults[[#This Row],[Team Number]]&gt;0,MIN(_xlfn.RANK.EQ(CoreValuesResults[[#This Row],[Core Values Score]],CoreValuesResults[Core Values Score],0),NumberOfTeams),NumberOfTeams+1)</f>
        <v>9</v>
      </c>
      <c r="V33" s="35"/>
      <c r="W33" s="35"/>
    </row>
    <row r="34" spans="1:23" ht="30" customHeight="1" x14ac:dyDescent="0.25">
      <c r="A34" s="8">
        <f>_xlfn.XLOOKUP(33,OfficialTeamList[Row],OfficialTeamList[Team Number],"ERROR",0)</f>
        <v>0</v>
      </c>
      <c r="B34" s="20" t="str">
        <f>_xlfn.XLOOKUP(CoreValuesResults[[#This Row],[Team Number]],OfficialTeamList[Team Number],OfficialTeamList[Team Name],"",0,)</f>
        <v/>
      </c>
      <c r="C34" s="66">
        <f>_xlfn.XLOOKUP(CoreValuesResults[[#This Row],[Team Number]],InnovationProjectResults[Team Number],InnovationProjectResults[Explore 2 (CV)])</f>
        <v>0</v>
      </c>
      <c r="D34" s="66">
        <f>_xlfn.XLOOKUP(CoreValuesResults[[#This Row],[Team Number]],InnovationProjectResults[Team Number],InnovationProjectResults[Ideate 3 (CV)])</f>
        <v>0</v>
      </c>
      <c r="E34" s="66">
        <f>_xlfn.XLOOKUP(CoreValuesResults[[#This Row],[Team Number]],InnovationProjectResults[Team Number],InnovationProjectResults[Implement 1 (CV)])</f>
        <v>0</v>
      </c>
      <c r="F34" s="66">
        <f>_xlfn.XLOOKUP(CoreValuesResults[[#This Row],[Team Number]],InnovationProjectResults[Team Number],InnovationProjectResults[Communicate 2 (CV)])</f>
        <v>0</v>
      </c>
      <c r="G34" s="66">
        <f>_xlfn.XLOOKUP(CoreValuesResults[[#This Row],[Team Number]],RobotDesignResults[Team Number],RobotDesignResults[Identify 2 (CV)])</f>
        <v>0</v>
      </c>
      <c r="H34" s="66">
        <f>_xlfn.XLOOKUP(CoreValuesResults[[#This Row],[Team Number]],RobotDesignResults[Team Number],RobotDesignResults[Iterate 3 (CV)])</f>
        <v>0</v>
      </c>
      <c r="I34" s="66">
        <f>_xlfn.XLOOKUP(CoreValuesResults[[#This Row],[Team Number]],RobotDesignResults[Team Number],RobotDesignResults[Communicate 1 (CV)])</f>
        <v>0</v>
      </c>
      <c r="J34" s="66">
        <f>_xlfn.XLOOKUP(CoreValuesResults[[#This Row],[Team Number]],RobotDesignResults[Team Number],RobotDesignResults[Communicate 2 (CV)])</f>
        <v>0</v>
      </c>
      <c r="K34" s="12"/>
      <c r="L34" s="12"/>
      <c r="M34" s="12"/>
      <c r="N34" s="12"/>
      <c r="O34" s="12"/>
      <c r="P34" s="12"/>
      <c r="Q34" s="8" t="str">
        <f>IF(CoreValuesResults[[#This Row],[Gracious Professionalism 1]]="","",COUNTIF(CoreValuesResults[[#This Row],[Gracious Professionalism 1]:[Gracious Professionalism 5]],""))</f>
        <v/>
      </c>
      <c r="R34" s="8" t="str">
        <f>IF(CoreValuesResults[[#This Row],[Gracious Professionalism 1]]="","",SUM(CoreValuesResults[[#This Row],[Gracious Professionalism 1]:[Gracious Professionalism 5]]))</f>
        <v/>
      </c>
      <c r="S34"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34" s="34">
        <f>SUM(CoreValuesResults[[#This Row],[Project CV 1 - EXPLORE]:[Engineering CV 4 - COMMUNINCATE]],CoreValuesResults[[#This Row],[Gracious Professionalism Score]])</f>
        <v>0</v>
      </c>
      <c r="U34" s="21">
        <f>IF(CoreValuesResults[[#This Row],[Team Number]]&gt;0,MIN(_xlfn.RANK.EQ(CoreValuesResults[[#This Row],[Core Values Score]],CoreValuesResults[Core Values Score],0),NumberOfTeams),NumberOfTeams+1)</f>
        <v>9</v>
      </c>
      <c r="V34" s="35"/>
      <c r="W34" s="35"/>
    </row>
    <row r="35" spans="1:23" ht="30" customHeight="1" x14ac:dyDescent="0.25">
      <c r="A35" s="8">
        <f>_xlfn.XLOOKUP(34,OfficialTeamList[Row],OfficialTeamList[Team Number],"ERROR",0)</f>
        <v>0</v>
      </c>
      <c r="B35" s="20" t="str">
        <f>_xlfn.XLOOKUP(CoreValuesResults[[#This Row],[Team Number]],OfficialTeamList[Team Number],OfficialTeamList[Team Name],"",0,)</f>
        <v/>
      </c>
      <c r="C35" s="66">
        <f>_xlfn.XLOOKUP(CoreValuesResults[[#This Row],[Team Number]],InnovationProjectResults[Team Number],InnovationProjectResults[Explore 2 (CV)])</f>
        <v>0</v>
      </c>
      <c r="D35" s="66">
        <f>_xlfn.XLOOKUP(CoreValuesResults[[#This Row],[Team Number]],InnovationProjectResults[Team Number],InnovationProjectResults[Ideate 3 (CV)])</f>
        <v>0</v>
      </c>
      <c r="E35" s="66">
        <f>_xlfn.XLOOKUP(CoreValuesResults[[#This Row],[Team Number]],InnovationProjectResults[Team Number],InnovationProjectResults[Implement 1 (CV)])</f>
        <v>0</v>
      </c>
      <c r="F35" s="66">
        <f>_xlfn.XLOOKUP(CoreValuesResults[[#This Row],[Team Number]],InnovationProjectResults[Team Number],InnovationProjectResults[Communicate 2 (CV)])</f>
        <v>0</v>
      </c>
      <c r="G35" s="66">
        <f>_xlfn.XLOOKUP(CoreValuesResults[[#This Row],[Team Number]],RobotDesignResults[Team Number],RobotDesignResults[Identify 2 (CV)])</f>
        <v>0</v>
      </c>
      <c r="H35" s="66">
        <f>_xlfn.XLOOKUP(CoreValuesResults[[#This Row],[Team Number]],RobotDesignResults[Team Number],RobotDesignResults[Iterate 3 (CV)])</f>
        <v>0</v>
      </c>
      <c r="I35" s="66">
        <f>_xlfn.XLOOKUP(CoreValuesResults[[#This Row],[Team Number]],RobotDesignResults[Team Number],RobotDesignResults[Communicate 1 (CV)])</f>
        <v>0</v>
      </c>
      <c r="J35" s="66">
        <f>_xlfn.XLOOKUP(CoreValuesResults[[#This Row],[Team Number]],RobotDesignResults[Team Number],RobotDesignResults[Communicate 2 (CV)])</f>
        <v>0</v>
      </c>
      <c r="K35" s="12"/>
      <c r="L35" s="12"/>
      <c r="M35" s="12"/>
      <c r="N35" s="12"/>
      <c r="O35" s="12"/>
      <c r="P35" s="12"/>
      <c r="Q35" s="8" t="str">
        <f>IF(CoreValuesResults[[#This Row],[Gracious Professionalism 1]]="","",COUNTIF(CoreValuesResults[[#This Row],[Gracious Professionalism 1]:[Gracious Professionalism 5]],""))</f>
        <v/>
      </c>
      <c r="R35" s="8" t="str">
        <f>IF(CoreValuesResults[[#This Row],[Gracious Professionalism 1]]="","",SUM(CoreValuesResults[[#This Row],[Gracious Professionalism 1]:[Gracious Professionalism 5]]))</f>
        <v/>
      </c>
      <c r="S35"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35" s="34">
        <f>SUM(CoreValuesResults[[#This Row],[Project CV 1 - EXPLORE]:[Engineering CV 4 - COMMUNINCATE]],CoreValuesResults[[#This Row],[Gracious Professionalism Score]])</f>
        <v>0</v>
      </c>
      <c r="U35" s="21">
        <f>IF(CoreValuesResults[[#This Row],[Team Number]]&gt;0,MIN(_xlfn.RANK.EQ(CoreValuesResults[[#This Row],[Core Values Score]],CoreValuesResults[Core Values Score],0),NumberOfTeams),NumberOfTeams+1)</f>
        <v>9</v>
      </c>
      <c r="V35" s="35"/>
      <c r="W35" s="35"/>
    </row>
    <row r="36" spans="1:23" ht="30" customHeight="1" x14ac:dyDescent="0.25">
      <c r="A36" s="8">
        <f>_xlfn.XLOOKUP(35,OfficialTeamList[Row],OfficialTeamList[Team Number],"ERROR",0)</f>
        <v>0</v>
      </c>
      <c r="B36" s="20" t="str">
        <f>_xlfn.XLOOKUP(CoreValuesResults[[#This Row],[Team Number]],OfficialTeamList[Team Number],OfficialTeamList[Team Name],"",0,)</f>
        <v/>
      </c>
      <c r="C36" s="66">
        <f>_xlfn.XLOOKUP(CoreValuesResults[[#This Row],[Team Number]],InnovationProjectResults[Team Number],InnovationProjectResults[Explore 2 (CV)])</f>
        <v>0</v>
      </c>
      <c r="D36" s="66">
        <f>_xlfn.XLOOKUP(CoreValuesResults[[#This Row],[Team Number]],InnovationProjectResults[Team Number],InnovationProjectResults[Ideate 3 (CV)])</f>
        <v>0</v>
      </c>
      <c r="E36" s="66">
        <f>_xlfn.XLOOKUP(CoreValuesResults[[#This Row],[Team Number]],InnovationProjectResults[Team Number],InnovationProjectResults[Implement 1 (CV)])</f>
        <v>0</v>
      </c>
      <c r="F36" s="66">
        <f>_xlfn.XLOOKUP(CoreValuesResults[[#This Row],[Team Number]],InnovationProjectResults[Team Number],InnovationProjectResults[Communicate 2 (CV)])</f>
        <v>0</v>
      </c>
      <c r="G36" s="66">
        <f>_xlfn.XLOOKUP(CoreValuesResults[[#This Row],[Team Number]],RobotDesignResults[Team Number],RobotDesignResults[Identify 2 (CV)])</f>
        <v>0</v>
      </c>
      <c r="H36" s="66">
        <f>_xlfn.XLOOKUP(CoreValuesResults[[#This Row],[Team Number]],RobotDesignResults[Team Number],RobotDesignResults[Iterate 3 (CV)])</f>
        <v>0</v>
      </c>
      <c r="I36" s="66">
        <f>_xlfn.XLOOKUP(CoreValuesResults[[#This Row],[Team Number]],RobotDesignResults[Team Number],RobotDesignResults[Communicate 1 (CV)])</f>
        <v>0</v>
      </c>
      <c r="J36" s="66">
        <f>_xlfn.XLOOKUP(CoreValuesResults[[#This Row],[Team Number]],RobotDesignResults[Team Number],RobotDesignResults[Communicate 2 (CV)])</f>
        <v>0</v>
      </c>
      <c r="K36" s="12"/>
      <c r="L36" s="12"/>
      <c r="M36" s="12"/>
      <c r="N36" s="12"/>
      <c r="O36" s="12"/>
      <c r="P36" s="12"/>
      <c r="Q36" s="8" t="str">
        <f>IF(CoreValuesResults[[#This Row],[Gracious Professionalism 1]]="","",COUNTIF(CoreValuesResults[[#This Row],[Gracious Professionalism 1]:[Gracious Professionalism 5]],""))</f>
        <v/>
      </c>
      <c r="R36" s="8" t="str">
        <f>IF(CoreValuesResults[[#This Row],[Gracious Professionalism 1]]="","",SUM(CoreValuesResults[[#This Row],[Gracious Professionalism 1]:[Gracious Professionalism 5]]))</f>
        <v/>
      </c>
      <c r="S36"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36" s="34">
        <f>SUM(CoreValuesResults[[#This Row],[Project CV 1 - EXPLORE]:[Engineering CV 4 - COMMUNINCATE]],CoreValuesResults[[#This Row],[Gracious Professionalism Score]])</f>
        <v>0</v>
      </c>
      <c r="U36" s="21">
        <f>IF(CoreValuesResults[[#This Row],[Team Number]]&gt;0,MIN(_xlfn.RANK.EQ(CoreValuesResults[[#This Row],[Core Values Score]],CoreValuesResults[Core Values Score],0),NumberOfTeams),NumberOfTeams+1)</f>
        <v>9</v>
      </c>
      <c r="V36" s="35"/>
      <c r="W36" s="35"/>
    </row>
    <row r="37" spans="1:23" ht="30" customHeight="1" x14ac:dyDescent="0.25">
      <c r="A37" s="8">
        <f>_xlfn.XLOOKUP(36,OfficialTeamList[Row],OfficialTeamList[Team Number],"ERROR",0)</f>
        <v>0</v>
      </c>
      <c r="B37" s="20" t="str">
        <f>_xlfn.XLOOKUP(CoreValuesResults[[#This Row],[Team Number]],OfficialTeamList[Team Number],OfficialTeamList[Team Name],"",0,)</f>
        <v/>
      </c>
      <c r="C37" s="66">
        <f>_xlfn.XLOOKUP(CoreValuesResults[[#This Row],[Team Number]],InnovationProjectResults[Team Number],InnovationProjectResults[Explore 2 (CV)])</f>
        <v>0</v>
      </c>
      <c r="D37" s="66">
        <f>_xlfn.XLOOKUP(CoreValuesResults[[#This Row],[Team Number]],InnovationProjectResults[Team Number],InnovationProjectResults[Ideate 3 (CV)])</f>
        <v>0</v>
      </c>
      <c r="E37" s="66">
        <f>_xlfn.XLOOKUP(CoreValuesResults[[#This Row],[Team Number]],InnovationProjectResults[Team Number],InnovationProjectResults[Implement 1 (CV)])</f>
        <v>0</v>
      </c>
      <c r="F37" s="66">
        <f>_xlfn.XLOOKUP(CoreValuesResults[[#This Row],[Team Number]],InnovationProjectResults[Team Number],InnovationProjectResults[Communicate 2 (CV)])</f>
        <v>0</v>
      </c>
      <c r="G37" s="66">
        <f>_xlfn.XLOOKUP(CoreValuesResults[[#This Row],[Team Number]],RobotDesignResults[Team Number],RobotDesignResults[Identify 2 (CV)])</f>
        <v>0</v>
      </c>
      <c r="H37" s="66">
        <f>_xlfn.XLOOKUP(CoreValuesResults[[#This Row],[Team Number]],RobotDesignResults[Team Number],RobotDesignResults[Iterate 3 (CV)])</f>
        <v>0</v>
      </c>
      <c r="I37" s="66">
        <f>_xlfn.XLOOKUP(CoreValuesResults[[#This Row],[Team Number]],RobotDesignResults[Team Number],RobotDesignResults[Communicate 1 (CV)])</f>
        <v>0</v>
      </c>
      <c r="J37" s="66">
        <f>_xlfn.XLOOKUP(CoreValuesResults[[#This Row],[Team Number]],RobotDesignResults[Team Number],RobotDesignResults[Communicate 2 (CV)])</f>
        <v>0</v>
      </c>
      <c r="K37" s="12"/>
      <c r="L37" s="12"/>
      <c r="M37" s="12"/>
      <c r="N37" s="12"/>
      <c r="O37" s="12"/>
      <c r="P37" s="12"/>
      <c r="Q37" s="8" t="str">
        <f>IF(CoreValuesResults[[#This Row],[Gracious Professionalism 1]]="","",COUNTIF(CoreValuesResults[[#This Row],[Gracious Professionalism 1]:[Gracious Professionalism 5]],""))</f>
        <v/>
      </c>
      <c r="R37" s="8" t="str">
        <f>IF(CoreValuesResults[[#This Row],[Gracious Professionalism 1]]="","",SUM(CoreValuesResults[[#This Row],[Gracious Professionalism 1]:[Gracious Professionalism 5]]))</f>
        <v/>
      </c>
      <c r="S37"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37" s="34">
        <f>SUM(CoreValuesResults[[#This Row],[Project CV 1 - EXPLORE]:[Engineering CV 4 - COMMUNINCATE]],CoreValuesResults[[#This Row],[Gracious Professionalism Score]])</f>
        <v>0</v>
      </c>
      <c r="U37" s="21">
        <f>IF(CoreValuesResults[[#This Row],[Team Number]]&gt;0,MIN(_xlfn.RANK.EQ(CoreValuesResults[[#This Row],[Core Values Score]],CoreValuesResults[Core Values Score],0),NumberOfTeams),NumberOfTeams+1)</f>
        <v>9</v>
      </c>
      <c r="V37" s="35"/>
      <c r="W37" s="35"/>
    </row>
    <row r="38" spans="1:23" ht="30" customHeight="1" x14ac:dyDescent="0.25">
      <c r="A38" s="8">
        <f>_xlfn.XLOOKUP(37,OfficialTeamList[Row],OfficialTeamList[Team Number],"ERROR",0)</f>
        <v>0</v>
      </c>
      <c r="B38" s="20" t="str">
        <f>_xlfn.XLOOKUP(CoreValuesResults[[#This Row],[Team Number]],OfficialTeamList[Team Number],OfficialTeamList[Team Name],"",0,)</f>
        <v/>
      </c>
      <c r="C38" s="66">
        <f>_xlfn.XLOOKUP(CoreValuesResults[[#This Row],[Team Number]],InnovationProjectResults[Team Number],InnovationProjectResults[Explore 2 (CV)])</f>
        <v>0</v>
      </c>
      <c r="D38" s="66">
        <f>_xlfn.XLOOKUP(CoreValuesResults[[#This Row],[Team Number]],InnovationProjectResults[Team Number],InnovationProjectResults[Ideate 3 (CV)])</f>
        <v>0</v>
      </c>
      <c r="E38" s="66">
        <f>_xlfn.XLOOKUP(CoreValuesResults[[#This Row],[Team Number]],InnovationProjectResults[Team Number],InnovationProjectResults[Implement 1 (CV)])</f>
        <v>0</v>
      </c>
      <c r="F38" s="66">
        <f>_xlfn.XLOOKUP(CoreValuesResults[[#This Row],[Team Number]],InnovationProjectResults[Team Number],InnovationProjectResults[Communicate 2 (CV)])</f>
        <v>0</v>
      </c>
      <c r="G38" s="66">
        <f>_xlfn.XLOOKUP(CoreValuesResults[[#This Row],[Team Number]],RobotDesignResults[Team Number],RobotDesignResults[Identify 2 (CV)])</f>
        <v>0</v>
      </c>
      <c r="H38" s="66">
        <f>_xlfn.XLOOKUP(CoreValuesResults[[#This Row],[Team Number]],RobotDesignResults[Team Number],RobotDesignResults[Iterate 3 (CV)])</f>
        <v>0</v>
      </c>
      <c r="I38" s="66">
        <f>_xlfn.XLOOKUP(CoreValuesResults[[#This Row],[Team Number]],RobotDesignResults[Team Number],RobotDesignResults[Communicate 1 (CV)])</f>
        <v>0</v>
      </c>
      <c r="J38" s="66">
        <f>_xlfn.XLOOKUP(CoreValuesResults[[#This Row],[Team Number]],RobotDesignResults[Team Number],RobotDesignResults[Communicate 2 (CV)])</f>
        <v>0</v>
      </c>
      <c r="K38" s="12"/>
      <c r="L38" s="12"/>
      <c r="M38" s="12"/>
      <c r="N38" s="12"/>
      <c r="O38" s="12"/>
      <c r="P38" s="12"/>
      <c r="Q38" s="8" t="str">
        <f>IF(CoreValuesResults[[#This Row],[Gracious Professionalism 1]]="","",COUNTIF(CoreValuesResults[[#This Row],[Gracious Professionalism 1]:[Gracious Professionalism 5]],""))</f>
        <v/>
      </c>
      <c r="R38" s="8" t="str">
        <f>IF(CoreValuesResults[[#This Row],[Gracious Professionalism 1]]="","",SUM(CoreValuesResults[[#This Row],[Gracious Professionalism 1]:[Gracious Professionalism 5]]))</f>
        <v/>
      </c>
      <c r="S38"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38" s="34">
        <f>SUM(CoreValuesResults[[#This Row],[Project CV 1 - EXPLORE]:[Engineering CV 4 - COMMUNINCATE]],CoreValuesResults[[#This Row],[Gracious Professionalism Score]])</f>
        <v>0</v>
      </c>
      <c r="U38" s="21">
        <f>IF(CoreValuesResults[[#This Row],[Team Number]]&gt;0,MIN(_xlfn.RANK.EQ(CoreValuesResults[[#This Row],[Core Values Score]],CoreValuesResults[Core Values Score],0),NumberOfTeams),NumberOfTeams+1)</f>
        <v>9</v>
      </c>
      <c r="V38" s="35"/>
      <c r="W38" s="35"/>
    </row>
    <row r="39" spans="1:23" ht="30" customHeight="1" x14ac:dyDescent="0.25">
      <c r="A39" s="8">
        <f>_xlfn.XLOOKUP(38,OfficialTeamList[Row],OfficialTeamList[Team Number],"ERROR",0)</f>
        <v>0</v>
      </c>
      <c r="B39" s="20" t="str">
        <f>_xlfn.XLOOKUP(CoreValuesResults[[#This Row],[Team Number]],OfficialTeamList[Team Number],OfficialTeamList[Team Name],"",0,)</f>
        <v/>
      </c>
      <c r="C39" s="66">
        <f>_xlfn.XLOOKUP(CoreValuesResults[[#This Row],[Team Number]],InnovationProjectResults[Team Number],InnovationProjectResults[Explore 2 (CV)])</f>
        <v>0</v>
      </c>
      <c r="D39" s="66">
        <f>_xlfn.XLOOKUP(CoreValuesResults[[#This Row],[Team Number]],InnovationProjectResults[Team Number],InnovationProjectResults[Ideate 3 (CV)])</f>
        <v>0</v>
      </c>
      <c r="E39" s="66">
        <f>_xlfn.XLOOKUP(CoreValuesResults[[#This Row],[Team Number]],InnovationProjectResults[Team Number],InnovationProjectResults[Implement 1 (CV)])</f>
        <v>0</v>
      </c>
      <c r="F39" s="66">
        <f>_xlfn.XLOOKUP(CoreValuesResults[[#This Row],[Team Number]],InnovationProjectResults[Team Number],InnovationProjectResults[Communicate 2 (CV)])</f>
        <v>0</v>
      </c>
      <c r="G39" s="66">
        <f>_xlfn.XLOOKUP(CoreValuesResults[[#This Row],[Team Number]],RobotDesignResults[Team Number],RobotDesignResults[Identify 2 (CV)])</f>
        <v>0</v>
      </c>
      <c r="H39" s="66">
        <f>_xlfn.XLOOKUP(CoreValuesResults[[#This Row],[Team Number]],RobotDesignResults[Team Number],RobotDesignResults[Iterate 3 (CV)])</f>
        <v>0</v>
      </c>
      <c r="I39" s="66">
        <f>_xlfn.XLOOKUP(CoreValuesResults[[#This Row],[Team Number]],RobotDesignResults[Team Number],RobotDesignResults[Communicate 1 (CV)])</f>
        <v>0</v>
      </c>
      <c r="J39" s="66">
        <f>_xlfn.XLOOKUP(CoreValuesResults[[#This Row],[Team Number]],RobotDesignResults[Team Number],RobotDesignResults[Communicate 2 (CV)])</f>
        <v>0</v>
      </c>
      <c r="K39" s="12"/>
      <c r="L39" s="12"/>
      <c r="M39" s="12"/>
      <c r="N39" s="12"/>
      <c r="O39" s="12"/>
      <c r="P39" s="12"/>
      <c r="Q39" s="8" t="str">
        <f>IF(CoreValuesResults[[#This Row],[Gracious Professionalism 1]]="","",COUNTIF(CoreValuesResults[[#This Row],[Gracious Professionalism 1]:[Gracious Professionalism 5]],""))</f>
        <v/>
      </c>
      <c r="R39" s="8" t="str">
        <f>IF(CoreValuesResults[[#This Row],[Gracious Professionalism 1]]="","",SUM(CoreValuesResults[[#This Row],[Gracious Professionalism 1]:[Gracious Professionalism 5]]))</f>
        <v/>
      </c>
      <c r="S39"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39" s="34">
        <f>SUM(CoreValuesResults[[#This Row],[Project CV 1 - EXPLORE]:[Engineering CV 4 - COMMUNINCATE]],CoreValuesResults[[#This Row],[Gracious Professionalism Score]])</f>
        <v>0</v>
      </c>
      <c r="U39" s="21">
        <f>IF(CoreValuesResults[[#This Row],[Team Number]]&gt;0,MIN(_xlfn.RANK.EQ(CoreValuesResults[[#This Row],[Core Values Score]],CoreValuesResults[Core Values Score],0),NumberOfTeams),NumberOfTeams+1)</f>
        <v>9</v>
      </c>
      <c r="V39" s="35"/>
      <c r="W39" s="35"/>
    </row>
    <row r="40" spans="1:23" ht="30" customHeight="1" x14ac:dyDescent="0.25">
      <c r="A40" s="8">
        <f>_xlfn.XLOOKUP(39,OfficialTeamList[Row],OfficialTeamList[Team Number],"ERROR",0)</f>
        <v>0</v>
      </c>
      <c r="B40" s="20" t="str">
        <f>_xlfn.XLOOKUP(CoreValuesResults[[#This Row],[Team Number]],OfficialTeamList[Team Number],OfficialTeamList[Team Name],"",0,)</f>
        <v/>
      </c>
      <c r="C40" s="66">
        <f>_xlfn.XLOOKUP(CoreValuesResults[[#This Row],[Team Number]],InnovationProjectResults[Team Number],InnovationProjectResults[Explore 2 (CV)])</f>
        <v>0</v>
      </c>
      <c r="D40" s="66">
        <f>_xlfn.XLOOKUP(CoreValuesResults[[#This Row],[Team Number]],InnovationProjectResults[Team Number],InnovationProjectResults[Ideate 3 (CV)])</f>
        <v>0</v>
      </c>
      <c r="E40" s="66">
        <f>_xlfn.XLOOKUP(CoreValuesResults[[#This Row],[Team Number]],InnovationProjectResults[Team Number],InnovationProjectResults[Implement 1 (CV)])</f>
        <v>0</v>
      </c>
      <c r="F40" s="66">
        <f>_xlfn.XLOOKUP(CoreValuesResults[[#This Row],[Team Number]],InnovationProjectResults[Team Number],InnovationProjectResults[Communicate 2 (CV)])</f>
        <v>0</v>
      </c>
      <c r="G40" s="66">
        <f>_xlfn.XLOOKUP(CoreValuesResults[[#This Row],[Team Number]],RobotDesignResults[Team Number],RobotDesignResults[Identify 2 (CV)])</f>
        <v>0</v>
      </c>
      <c r="H40" s="66">
        <f>_xlfn.XLOOKUP(CoreValuesResults[[#This Row],[Team Number]],RobotDesignResults[Team Number],RobotDesignResults[Iterate 3 (CV)])</f>
        <v>0</v>
      </c>
      <c r="I40" s="66">
        <f>_xlfn.XLOOKUP(CoreValuesResults[[#This Row],[Team Number]],RobotDesignResults[Team Number],RobotDesignResults[Communicate 1 (CV)])</f>
        <v>0</v>
      </c>
      <c r="J40" s="66">
        <f>_xlfn.XLOOKUP(CoreValuesResults[[#This Row],[Team Number]],RobotDesignResults[Team Number],RobotDesignResults[Communicate 2 (CV)])</f>
        <v>0</v>
      </c>
      <c r="K40" s="12"/>
      <c r="L40" s="12"/>
      <c r="M40" s="12"/>
      <c r="N40" s="12"/>
      <c r="O40" s="12"/>
      <c r="P40" s="12"/>
      <c r="Q40" s="8" t="str">
        <f>IF(CoreValuesResults[[#This Row],[Gracious Professionalism 1]]="","",COUNTIF(CoreValuesResults[[#This Row],[Gracious Professionalism 1]:[Gracious Professionalism 5]],""))</f>
        <v/>
      </c>
      <c r="R40" s="8" t="str">
        <f>IF(CoreValuesResults[[#This Row],[Gracious Professionalism 1]]="","",SUM(CoreValuesResults[[#This Row],[Gracious Professionalism 1]:[Gracious Professionalism 5]]))</f>
        <v/>
      </c>
      <c r="S40"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40" s="34">
        <f>SUM(CoreValuesResults[[#This Row],[Project CV 1 - EXPLORE]:[Engineering CV 4 - COMMUNINCATE]],CoreValuesResults[[#This Row],[Gracious Professionalism Score]])</f>
        <v>0</v>
      </c>
      <c r="U40" s="21">
        <f>IF(CoreValuesResults[[#This Row],[Team Number]]&gt;0,MIN(_xlfn.RANK.EQ(CoreValuesResults[[#This Row],[Core Values Score]],CoreValuesResults[Core Values Score],0),NumberOfTeams),NumberOfTeams+1)</f>
        <v>9</v>
      </c>
      <c r="V40" s="35"/>
      <c r="W40" s="35"/>
    </row>
    <row r="41" spans="1:23" ht="30" customHeight="1" x14ac:dyDescent="0.25">
      <c r="A41" s="8">
        <f>_xlfn.XLOOKUP(40,OfficialTeamList[Row],OfficialTeamList[Team Number],"ERROR",0)</f>
        <v>0</v>
      </c>
      <c r="B41" s="20" t="str">
        <f>_xlfn.XLOOKUP(CoreValuesResults[[#This Row],[Team Number]],OfficialTeamList[Team Number],OfficialTeamList[Team Name],"",0,)</f>
        <v/>
      </c>
      <c r="C41" s="66">
        <f>_xlfn.XLOOKUP(CoreValuesResults[[#This Row],[Team Number]],InnovationProjectResults[Team Number],InnovationProjectResults[Explore 2 (CV)])</f>
        <v>0</v>
      </c>
      <c r="D41" s="66">
        <f>_xlfn.XLOOKUP(CoreValuesResults[[#This Row],[Team Number]],InnovationProjectResults[Team Number],InnovationProjectResults[Ideate 3 (CV)])</f>
        <v>0</v>
      </c>
      <c r="E41" s="66">
        <f>_xlfn.XLOOKUP(CoreValuesResults[[#This Row],[Team Number]],InnovationProjectResults[Team Number],InnovationProjectResults[Implement 1 (CV)])</f>
        <v>0</v>
      </c>
      <c r="F41" s="66">
        <f>_xlfn.XLOOKUP(CoreValuesResults[[#This Row],[Team Number]],InnovationProjectResults[Team Number],InnovationProjectResults[Communicate 2 (CV)])</f>
        <v>0</v>
      </c>
      <c r="G41" s="66">
        <f>_xlfn.XLOOKUP(CoreValuesResults[[#This Row],[Team Number]],RobotDesignResults[Team Number],RobotDesignResults[Identify 2 (CV)])</f>
        <v>0</v>
      </c>
      <c r="H41" s="66">
        <f>_xlfn.XLOOKUP(CoreValuesResults[[#This Row],[Team Number]],RobotDesignResults[Team Number],RobotDesignResults[Iterate 3 (CV)])</f>
        <v>0</v>
      </c>
      <c r="I41" s="66">
        <f>_xlfn.XLOOKUP(CoreValuesResults[[#This Row],[Team Number]],RobotDesignResults[Team Number],RobotDesignResults[Communicate 1 (CV)])</f>
        <v>0</v>
      </c>
      <c r="J41" s="66">
        <f>_xlfn.XLOOKUP(CoreValuesResults[[#This Row],[Team Number]],RobotDesignResults[Team Number],RobotDesignResults[Communicate 2 (CV)])</f>
        <v>0</v>
      </c>
      <c r="K41" s="12"/>
      <c r="L41" s="12"/>
      <c r="M41" s="12"/>
      <c r="N41" s="12"/>
      <c r="O41" s="12"/>
      <c r="P41" s="12"/>
      <c r="Q41" s="8" t="str">
        <f>IF(CoreValuesResults[[#This Row],[Gracious Professionalism 1]]="","",COUNTIF(CoreValuesResults[[#This Row],[Gracious Professionalism 1]:[Gracious Professionalism 5]],""))</f>
        <v/>
      </c>
      <c r="R41" s="8" t="str">
        <f>IF(CoreValuesResults[[#This Row],[Gracious Professionalism 1]]="","",SUM(CoreValuesResults[[#This Row],[Gracious Professionalism 1]:[Gracious Professionalism 5]]))</f>
        <v/>
      </c>
      <c r="S41"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41" s="34">
        <f>SUM(CoreValuesResults[[#This Row],[Project CV 1 - EXPLORE]:[Engineering CV 4 - COMMUNINCATE]],CoreValuesResults[[#This Row],[Gracious Professionalism Score]])</f>
        <v>0</v>
      </c>
      <c r="U41" s="21">
        <f>IF(CoreValuesResults[[#This Row],[Team Number]]&gt;0,MIN(_xlfn.RANK.EQ(CoreValuesResults[[#This Row],[Core Values Score]],CoreValuesResults[Core Values Score],0),NumberOfTeams),NumberOfTeams+1)</f>
        <v>9</v>
      </c>
      <c r="V41" s="35"/>
      <c r="W41" s="35"/>
    </row>
    <row r="42" spans="1:23" ht="30" customHeight="1" x14ac:dyDescent="0.25">
      <c r="A42" s="8">
        <f>_xlfn.XLOOKUP(41,OfficialTeamList[Row],OfficialTeamList[Team Number],"ERROR",0)</f>
        <v>0</v>
      </c>
      <c r="B42" s="20" t="str">
        <f>_xlfn.XLOOKUP(CoreValuesResults[[#This Row],[Team Number]],OfficialTeamList[Team Number],OfficialTeamList[Team Name],"",0,)</f>
        <v/>
      </c>
      <c r="C42" s="66">
        <f>_xlfn.XLOOKUP(CoreValuesResults[[#This Row],[Team Number]],InnovationProjectResults[Team Number],InnovationProjectResults[Explore 2 (CV)])</f>
        <v>0</v>
      </c>
      <c r="D42" s="66">
        <f>_xlfn.XLOOKUP(CoreValuesResults[[#This Row],[Team Number]],InnovationProjectResults[Team Number],InnovationProjectResults[Ideate 3 (CV)])</f>
        <v>0</v>
      </c>
      <c r="E42" s="66">
        <f>_xlfn.XLOOKUP(CoreValuesResults[[#This Row],[Team Number]],InnovationProjectResults[Team Number],InnovationProjectResults[Implement 1 (CV)])</f>
        <v>0</v>
      </c>
      <c r="F42" s="66">
        <f>_xlfn.XLOOKUP(CoreValuesResults[[#This Row],[Team Number]],InnovationProjectResults[Team Number],InnovationProjectResults[Communicate 2 (CV)])</f>
        <v>0</v>
      </c>
      <c r="G42" s="66">
        <f>_xlfn.XLOOKUP(CoreValuesResults[[#This Row],[Team Number]],RobotDesignResults[Team Number],RobotDesignResults[Identify 2 (CV)])</f>
        <v>0</v>
      </c>
      <c r="H42" s="66">
        <f>_xlfn.XLOOKUP(CoreValuesResults[[#This Row],[Team Number]],RobotDesignResults[Team Number],RobotDesignResults[Iterate 3 (CV)])</f>
        <v>0</v>
      </c>
      <c r="I42" s="66">
        <f>_xlfn.XLOOKUP(CoreValuesResults[[#This Row],[Team Number]],RobotDesignResults[Team Number],RobotDesignResults[Communicate 1 (CV)])</f>
        <v>0</v>
      </c>
      <c r="J42" s="66">
        <f>_xlfn.XLOOKUP(CoreValuesResults[[#This Row],[Team Number]],RobotDesignResults[Team Number],RobotDesignResults[Communicate 2 (CV)])</f>
        <v>0</v>
      </c>
      <c r="K42" s="12"/>
      <c r="L42" s="12"/>
      <c r="M42" s="12"/>
      <c r="N42" s="12"/>
      <c r="O42" s="12"/>
      <c r="P42" s="12"/>
      <c r="Q42" s="8" t="str">
        <f>IF(CoreValuesResults[[#This Row],[Gracious Professionalism 1]]="","",COUNTIF(CoreValuesResults[[#This Row],[Gracious Professionalism 1]:[Gracious Professionalism 5]],""))</f>
        <v/>
      </c>
      <c r="R42" s="8" t="str">
        <f>IF(CoreValuesResults[[#This Row],[Gracious Professionalism 1]]="","",SUM(CoreValuesResults[[#This Row],[Gracious Professionalism 1]:[Gracious Professionalism 5]]))</f>
        <v/>
      </c>
      <c r="S42"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42" s="34">
        <f>SUM(CoreValuesResults[[#This Row],[Project CV 1 - EXPLORE]:[Engineering CV 4 - COMMUNINCATE]],CoreValuesResults[[#This Row],[Gracious Professionalism Score]])</f>
        <v>0</v>
      </c>
      <c r="U42" s="21">
        <f>IF(CoreValuesResults[[#This Row],[Team Number]]&gt;0,MIN(_xlfn.RANK.EQ(CoreValuesResults[[#This Row],[Core Values Score]],CoreValuesResults[Core Values Score],0),NumberOfTeams),NumberOfTeams+1)</f>
        <v>9</v>
      </c>
      <c r="V42" s="35"/>
      <c r="W42" s="35"/>
    </row>
    <row r="43" spans="1:23" ht="30" customHeight="1" x14ac:dyDescent="0.25">
      <c r="A43" s="8">
        <f>_xlfn.XLOOKUP(42,OfficialTeamList[Row],OfficialTeamList[Team Number],"ERROR",0)</f>
        <v>0</v>
      </c>
      <c r="B43" s="20" t="str">
        <f>_xlfn.XLOOKUP(CoreValuesResults[[#This Row],[Team Number]],OfficialTeamList[Team Number],OfficialTeamList[Team Name],"",0,)</f>
        <v/>
      </c>
      <c r="C43" s="66">
        <f>_xlfn.XLOOKUP(CoreValuesResults[[#This Row],[Team Number]],InnovationProjectResults[Team Number],InnovationProjectResults[Explore 2 (CV)])</f>
        <v>0</v>
      </c>
      <c r="D43" s="66">
        <f>_xlfn.XLOOKUP(CoreValuesResults[[#This Row],[Team Number]],InnovationProjectResults[Team Number],InnovationProjectResults[Ideate 3 (CV)])</f>
        <v>0</v>
      </c>
      <c r="E43" s="66">
        <f>_xlfn.XLOOKUP(CoreValuesResults[[#This Row],[Team Number]],InnovationProjectResults[Team Number],InnovationProjectResults[Implement 1 (CV)])</f>
        <v>0</v>
      </c>
      <c r="F43" s="66">
        <f>_xlfn.XLOOKUP(CoreValuesResults[[#This Row],[Team Number]],InnovationProjectResults[Team Number],InnovationProjectResults[Communicate 2 (CV)])</f>
        <v>0</v>
      </c>
      <c r="G43" s="66">
        <f>_xlfn.XLOOKUP(CoreValuesResults[[#This Row],[Team Number]],RobotDesignResults[Team Number],RobotDesignResults[Identify 2 (CV)])</f>
        <v>0</v>
      </c>
      <c r="H43" s="66">
        <f>_xlfn.XLOOKUP(CoreValuesResults[[#This Row],[Team Number]],RobotDesignResults[Team Number],RobotDesignResults[Iterate 3 (CV)])</f>
        <v>0</v>
      </c>
      <c r="I43" s="66">
        <f>_xlfn.XLOOKUP(CoreValuesResults[[#This Row],[Team Number]],RobotDesignResults[Team Number],RobotDesignResults[Communicate 1 (CV)])</f>
        <v>0</v>
      </c>
      <c r="J43" s="66">
        <f>_xlfn.XLOOKUP(CoreValuesResults[[#This Row],[Team Number]],RobotDesignResults[Team Number],RobotDesignResults[Communicate 2 (CV)])</f>
        <v>0</v>
      </c>
      <c r="K43" s="12"/>
      <c r="L43" s="12"/>
      <c r="M43" s="12"/>
      <c r="N43" s="12"/>
      <c r="O43" s="12"/>
      <c r="P43" s="12"/>
      <c r="Q43" s="8" t="str">
        <f>IF(CoreValuesResults[[#This Row],[Gracious Professionalism 1]]="","",COUNTIF(CoreValuesResults[[#This Row],[Gracious Professionalism 1]:[Gracious Professionalism 5]],""))</f>
        <v/>
      </c>
      <c r="R43" s="8" t="str">
        <f>IF(CoreValuesResults[[#This Row],[Gracious Professionalism 1]]="","",SUM(CoreValuesResults[[#This Row],[Gracious Professionalism 1]:[Gracious Professionalism 5]]))</f>
        <v/>
      </c>
      <c r="S43"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43" s="34">
        <f>SUM(CoreValuesResults[[#This Row],[Project CV 1 - EXPLORE]:[Engineering CV 4 - COMMUNINCATE]],CoreValuesResults[[#This Row],[Gracious Professionalism Score]])</f>
        <v>0</v>
      </c>
      <c r="U43" s="21">
        <f>IF(CoreValuesResults[[#This Row],[Team Number]]&gt;0,MIN(_xlfn.RANK.EQ(CoreValuesResults[[#This Row],[Core Values Score]],CoreValuesResults[Core Values Score],0),NumberOfTeams),NumberOfTeams+1)</f>
        <v>9</v>
      </c>
      <c r="V43" s="35"/>
      <c r="W43" s="35"/>
    </row>
    <row r="44" spans="1:23" ht="30" customHeight="1" x14ac:dyDescent="0.25">
      <c r="A44" s="8">
        <f>_xlfn.XLOOKUP(43,OfficialTeamList[Row],OfficialTeamList[Team Number],"ERROR",0)</f>
        <v>0</v>
      </c>
      <c r="B44" s="20" t="str">
        <f>_xlfn.XLOOKUP(CoreValuesResults[[#This Row],[Team Number]],OfficialTeamList[Team Number],OfficialTeamList[Team Name],"",0,)</f>
        <v/>
      </c>
      <c r="C44" s="66">
        <f>_xlfn.XLOOKUP(CoreValuesResults[[#This Row],[Team Number]],InnovationProjectResults[Team Number],InnovationProjectResults[Explore 2 (CV)])</f>
        <v>0</v>
      </c>
      <c r="D44" s="66">
        <f>_xlfn.XLOOKUP(CoreValuesResults[[#This Row],[Team Number]],InnovationProjectResults[Team Number],InnovationProjectResults[Ideate 3 (CV)])</f>
        <v>0</v>
      </c>
      <c r="E44" s="66">
        <f>_xlfn.XLOOKUP(CoreValuesResults[[#This Row],[Team Number]],InnovationProjectResults[Team Number],InnovationProjectResults[Implement 1 (CV)])</f>
        <v>0</v>
      </c>
      <c r="F44" s="66">
        <f>_xlfn.XLOOKUP(CoreValuesResults[[#This Row],[Team Number]],InnovationProjectResults[Team Number],InnovationProjectResults[Communicate 2 (CV)])</f>
        <v>0</v>
      </c>
      <c r="G44" s="66">
        <f>_xlfn.XLOOKUP(CoreValuesResults[[#This Row],[Team Number]],RobotDesignResults[Team Number],RobotDesignResults[Identify 2 (CV)])</f>
        <v>0</v>
      </c>
      <c r="H44" s="66">
        <f>_xlfn.XLOOKUP(CoreValuesResults[[#This Row],[Team Number]],RobotDesignResults[Team Number],RobotDesignResults[Iterate 3 (CV)])</f>
        <v>0</v>
      </c>
      <c r="I44" s="66">
        <f>_xlfn.XLOOKUP(CoreValuesResults[[#This Row],[Team Number]],RobotDesignResults[Team Number],RobotDesignResults[Communicate 1 (CV)])</f>
        <v>0</v>
      </c>
      <c r="J44" s="66">
        <f>_xlfn.XLOOKUP(CoreValuesResults[[#This Row],[Team Number]],RobotDesignResults[Team Number],RobotDesignResults[Communicate 2 (CV)])</f>
        <v>0</v>
      </c>
      <c r="K44" s="12"/>
      <c r="L44" s="12"/>
      <c r="M44" s="12"/>
      <c r="N44" s="12"/>
      <c r="O44" s="12"/>
      <c r="P44" s="12"/>
      <c r="Q44" s="8" t="str">
        <f>IF(CoreValuesResults[[#This Row],[Gracious Professionalism 1]]="","",COUNTIF(CoreValuesResults[[#This Row],[Gracious Professionalism 1]:[Gracious Professionalism 5]],""))</f>
        <v/>
      </c>
      <c r="R44" s="8" t="str">
        <f>IF(CoreValuesResults[[#This Row],[Gracious Professionalism 1]]="","",SUM(CoreValuesResults[[#This Row],[Gracious Professionalism 1]:[Gracious Professionalism 5]]))</f>
        <v/>
      </c>
      <c r="S44"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44" s="34">
        <f>SUM(CoreValuesResults[[#This Row],[Project CV 1 - EXPLORE]:[Engineering CV 4 - COMMUNINCATE]],CoreValuesResults[[#This Row],[Gracious Professionalism Score]])</f>
        <v>0</v>
      </c>
      <c r="U44" s="21">
        <f>IF(CoreValuesResults[[#This Row],[Team Number]]&gt;0,MIN(_xlfn.RANK.EQ(CoreValuesResults[[#This Row],[Core Values Score]],CoreValuesResults[Core Values Score],0),NumberOfTeams),NumberOfTeams+1)</f>
        <v>9</v>
      </c>
      <c r="V44" s="35"/>
      <c r="W44" s="35"/>
    </row>
    <row r="45" spans="1:23" ht="30" customHeight="1" x14ac:dyDescent="0.25">
      <c r="A45" s="8">
        <f>_xlfn.XLOOKUP(44,OfficialTeamList[Row],OfficialTeamList[Team Number],"ERROR",0)</f>
        <v>0</v>
      </c>
      <c r="B45" s="20" t="str">
        <f>_xlfn.XLOOKUP(CoreValuesResults[[#This Row],[Team Number]],OfficialTeamList[Team Number],OfficialTeamList[Team Name],"",0,)</f>
        <v/>
      </c>
      <c r="C45" s="66">
        <f>_xlfn.XLOOKUP(CoreValuesResults[[#This Row],[Team Number]],InnovationProjectResults[Team Number],InnovationProjectResults[Explore 2 (CV)])</f>
        <v>0</v>
      </c>
      <c r="D45" s="66">
        <f>_xlfn.XLOOKUP(CoreValuesResults[[#This Row],[Team Number]],InnovationProjectResults[Team Number],InnovationProjectResults[Ideate 3 (CV)])</f>
        <v>0</v>
      </c>
      <c r="E45" s="66">
        <f>_xlfn.XLOOKUP(CoreValuesResults[[#This Row],[Team Number]],InnovationProjectResults[Team Number],InnovationProjectResults[Implement 1 (CV)])</f>
        <v>0</v>
      </c>
      <c r="F45" s="66">
        <f>_xlfn.XLOOKUP(CoreValuesResults[[#This Row],[Team Number]],InnovationProjectResults[Team Number],InnovationProjectResults[Communicate 2 (CV)])</f>
        <v>0</v>
      </c>
      <c r="G45" s="66">
        <f>_xlfn.XLOOKUP(CoreValuesResults[[#This Row],[Team Number]],RobotDesignResults[Team Number],RobotDesignResults[Identify 2 (CV)])</f>
        <v>0</v>
      </c>
      <c r="H45" s="66">
        <f>_xlfn.XLOOKUP(CoreValuesResults[[#This Row],[Team Number]],RobotDesignResults[Team Number],RobotDesignResults[Iterate 3 (CV)])</f>
        <v>0</v>
      </c>
      <c r="I45" s="66">
        <f>_xlfn.XLOOKUP(CoreValuesResults[[#This Row],[Team Number]],RobotDesignResults[Team Number],RobotDesignResults[Communicate 1 (CV)])</f>
        <v>0</v>
      </c>
      <c r="J45" s="66">
        <f>_xlfn.XLOOKUP(CoreValuesResults[[#This Row],[Team Number]],RobotDesignResults[Team Number],RobotDesignResults[Communicate 2 (CV)])</f>
        <v>0</v>
      </c>
      <c r="K45" s="12"/>
      <c r="L45" s="12"/>
      <c r="M45" s="12"/>
      <c r="N45" s="12"/>
      <c r="O45" s="12"/>
      <c r="P45" s="12"/>
      <c r="Q45" s="8" t="str">
        <f>IF(CoreValuesResults[[#This Row],[Gracious Professionalism 1]]="","",COUNTIF(CoreValuesResults[[#This Row],[Gracious Professionalism 1]:[Gracious Professionalism 5]],""))</f>
        <v/>
      </c>
      <c r="R45" s="8" t="str">
        <f>IF(CoreValuesResults[[#This Row],[Gracious Professionalism 1]]="","",SUM(CoreValuesResults[[#This Row],[Gracious Professionalism 1]:[Gracious Professionalism 5]]))</f>
        <v/>
      </c>
      <c r="S45"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45" s="34">
        <f>SUM(CoreValuesResults[[#This Row],[Project CV 1 - EXPLORE]:[Engineering CV 4 - COMMUNINCATE]],CoreValuesResults[[#This Row],[Gracious Professionalism Score]])</f>
        <v>0</v>
      </c>
      <c r="U45" s="21">
        <f>IF(CoreValuesResults[[#This Row],[Team Number]]&gt;0,MIN(_xlfn.RANK.EQ(CoreValuesResults[[#This Row],[Core Values Score]],CoreValuesResults[Core Values Score],0),NumberOfTeams),NumberOfTeams+1)</f>
        <v>9</v>
      </c>
      <c r="V45" s="35"/>
      <c r="W45" s="35"/>
    </row>
    <row r="46" spans="1:23" ht="30" customHeight="1" x14ac:dyDescent="0.25">
      <c r="A46" s="8">
        <f>_xlfn.XLOOKUP(45,OfficialTeamList[Row],OfficialTeamList[Team Number],"ERROR",0)</f>
        <v>0</v>
      </c>
      <c r="B46" s="20" t="str">
        <f>_xlfn.XLOOKUP(CoreValuesResults[[#This Row],[Team Number]],OfficialTeamList[Team Number],OfficialTeamList[Team Name],"",0,)</f>
        <v/>
      </c>
      <c r="C46" s="66">
        <f>_xlfn.XLOOKUP(CoreValuesResults[[#This Row],[Team Number]],InnovationProjectResults[Team Number],InnovationProjectResults[Explore 2 (CV)])</f>
        <v>0</v>
      </c>
      <c r="D46" s="66">
        <f>_xlfn.XLOOKUP(CoreValuesResults[[#This Row],[Team Number]],InnovationProjectResults[Team Number],InnovationProjectResults[Ideate 3 (CV)])</f>
        <v>0</v>
      </c>
      <c r="E46" s="66">
        <f>_xlfn.XLOOKUP(CoreValuesResults[[#This Row],[Team Number]],InnovationProjectResults[Team Number],InnovationProjectResults[Implement 1 (CV)])</f>
        <v>0</v>
      </c>
      <c r="F46" s="66">
        <f>_xlfn.XLOOKUP(CoreValuesResults[[#This Row],[Team Number]],InnovationProjectResults[Team Number],InnovationProjectResults[Communicate 2 (CV)])</f>
        <v>0</v>
      </c>
      <c r="G46" s="66">
        <f>_xlfn.XLOOKUP(CoreValuesResults[[#This Row],[Team Number]],RobotDesignResults[Team Number],RobotDesignResults[Identify 2 (CV)])</f>
        <v>0</v>
      </c>
      <c r="H46" s="66">
        <f>_xlfn.XLOOKUP(CoreValuesResults[[#This Row],[Team Number]],RobotDesignResults[Team Number],RobotDesignResults[Iterate 3 (CV)])</f>
        <v>0</v>
      </c>
      <c r="I46" s="66">
        <f>_xlfn.XLOOKUP(CoreValuesResults[[#This Row],[Team Number]],RobotDesignResults[Team Number],RobotDesignResults[Communicate 1 (CV)])</f>
        <v>0</v>
      </c>
      <c r="J46" s="66">
        <f>_xlfn.XLOOKUP(CoreValuesResults[[#This Row],[Team Number]],RobotDesignResults[Team Number],RobotDesignResults[Communicate 2 (CV)])</f>
        <v>0</v>
      </c>
      <c r="K46" s="12"/>
      <c r="L46" s="12"/>
      <c r="M46" s="12"/>
      <c r="N46" s="12"/>
      <c r="O46" s="12"/>
      <c r="P46" s="12"/>
      <c r="Q46" s="8" t="str">
        <f>IF(CoreValuesResults[[#This Row],[Gracious Professionalism 1]]="","",COUNTIF(CoreValuesResults[[#This Row],[Gracious Professionalism 1]:[Gracious Professionalism 5]],""))</f>
        <v/>
      </c>
      <c r="R46" s="8" t="str">
        <f>IF(CoreValuesResults[[#This Row],[Gracious Professionalism 1]]="","",SUM(CoreValuesResults[[#This Row],[Gracious Professionalism 1]:[Gracious Professionalism 5]]))</f>
        <v/>
      </c>
      <c r="S46"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46" s="34">
        <f>SUM(CoreValuesResults[[#This Row],[Project CV 1 - EXPLORE]:[Engineering CV 4 - COMMUNINCATE]],CoreValuesResults[[#This Row],[Gracious Professionalism Score]])</f>
        <v>0</v>
      </c>
      <c r="U46" s="21">
        <f>IF(CoreValuesResults[[#This Row],[Team Number]]&gt;0,MIN(_xlfn.RANK.EQ(CoreValuesResults[[#This Row],[Core Values Score]],CoreValuesResults[Core Values Score],0),NumberOfTeams),NumberOfTeams+1)</f>
        <v>9</v>
      </c>
      <c r="V46" s="35"/>
      <c r="W46" s="35"/>
    </row>
    <row r="47" spans="1:23" ht="30" customHeight="1" x14ac:dyDescent="0.25">
      <c r="A47" s="8">
        <f>_xlfn.XLOOKUP(46,OfficialTeamList[Row],OfficialTeamList[Team Number],"ERROR",0)</f>
        <v>0</v>
      </c>
      <c r="B47" s="20" t="str">
        <f>_xlfn.XLOOKUP(CoreValuesResults[[#This Row],[Team Number]],OfficialTeamList[Team Number],OfficialTeamList[Team Name],"",0,)</f>
        <v/>
      </c>
      <c r="C47" s="66">
        <f>_xlfn.XLOOKUP(CoreValuesResults[[#This Row],[Team Number]],InnovationProjectResults[Team Number],InnovationProjectResults[Explore 2 (CV)])</f>
        <v>0</v>
      </c>
      <c r="D47" s="66">
        <f>_xlfn.XLOOKUP(CoreValuesResults[[#This Row],[Team Number]],InnovationProjectResults[Team Number],InnovationProjectResults[Ideate 3 (CV)])</f>
        <v>0</v>
      </c>
      <c r="E47" s="66">
        <f>_xlfn.XLOOKUP(CoreValuesResults[[#This Row],[Team Number]],InnovationProjectResults[Team Number],InnovationProjectResults[Implement 1 (CV)])</f>
        <v>0</v>
      </c>
      <c r="F47" s="66">
        <f>_xlfn.XLOOKUP(CoreValuesResults[[#This Row],[Team Number]],InnovationProjectResults[Team Number],InnovationProjectResults[Communicate 2 (CV)])</f>
        <v>0</v>
      </c>
      <c r="G47" s="66">
        <f>_xlfn.XLOOKUP(CoreValuesResults[[#This Row],[Team Number]],RobotDesignResults[Team Number],RobotDesignResults[Identify 2 (CV)])</f>
        <v>0</v>
      </c>
      <c r="H47" s="66">
        <f>_xlfn.XLOOKUP(CoreValuesResults[[#This Row],[Team Number]],RobotDesignResults[Team Number],RobotDesignResults[Iterate 3 (CV)])</f>
        <v>0</v>
      </c>
      <c r="I47" s="66">
        <f>_xlfn.XLOOKUP(CoreValuesResults[[#This Row],[Team Number]],RobotDesignResults[Team Number],RobotDesignResults[Communicate 1 (CV)])</f>
        <v>0</v>
      </c>
      <c r="J47" s="66">
        <f>_xlfn.XLOOKUP(CoreValuesResults[[#This Row],[Team Number]],RobotDesignResults[Team Number],RobotDesignResults[Communicate 2 (CV)])</f>
        <v>0</v>
      </c>
      <c r="K47" s="12"/>
      <c r="L47" s="12"/>
      <c r="M47" s="12"/>
      <c r="N47" s="12"/>
      <c r="O47" s="12"/>
      <c r="P47" s="12"/>
      <c r="Q47" s="8" t="str">
        <f>IF(CoreValuesResults[[#This Row],[Gracious Professionalism 1]]="","",COUNTIF(CoreValuesResults[[#This Row],[Gracious Professionalism 1]:[Gracious Professionalism 5]],""))</f>
        <v/>
      </c>
      <c r="R47" s="8" t="str">
        <f>IF(CoreValuesResults[[#This Row],[Gracious Professionalism 1]]="","",SUM(CoreValuesResults[[#This Row],[Gracious Professionalism 1]:[Gracious Professionalism 5]]))</f>
        <v/>
      </c>
      <c r="S47"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47" s="34">
        <f>SUM(CoreValuesResults[[#This Row],[Project CV 1 - EXPLORE]:[Engineering CV 4 - COMMUNINCATE]],CoreValuesResults[[#This Row],[Gracious Professionalism Score]])</f>
        <v>0</v>
      </c>
      <c r="U47" s="21">
        <f>IF(CoreValuesResults[[#This Row],[Team Number]]&gt;0,MIN(_xlfn.RANK.EQ(CoreValuesResults[[#This Row],[Core Values Score]],CoreValuesResults[Core Values Score],0),NumberOfTeams),NumberOfTeams+1)</f>
        <v>9</v>
      </c>
      <c r="V47" s="35"/>
      <c r="W47" s="35"/>
    </row>
    <row r="48" spans="1:23" ht="30" customHeight="1" x14ac:dyDescent="0.25">
      <c r="A48" s="8">
        <f>_xlfn.XLOOKUP(47,OfficialTeamList[Row],OfficialTeamList[Team Number],"ERROR",0)</f>
        <v>0</v>
      </c>
      <c r="B48" s="20" t="str">
        <f>_xlfn.XLOOKUP(CoreValuesResults[[#This Row],[Team Number]],OfficialTeamList[Team Number],OfficialTeamList[Team Name],"",0,)</f>
        <v/>
      </c>
      <c r="C48" s="66">
        <f>_xlfn.XLOOKUP(CoreValuesResults[[#This Row],[Team Number]],InnovationProjectResults[Team Number],InnovationProjectResults[Explore 2 (CV)])</f>
        <v>0</v>
      </c>
      <c r="D48" s="66">
        <f>_xlfn.XLOOKUP(CoreValuesResults[[#This Row],[Team Number]],InnovationProjectResults[Team Number],InnovationProjectResults[Ideate 3 (CV)])</f>
        <v>0</v>
      </c>
      <c r="E48" s="66">
        <f>_xlfn.XLOOKUP(CoreValuesResults[[#This Row],[Team Number]],InnovationProjectResults[Team Number],InnovationProjectResults[Implement 1 (CV)])</f>
        <v>0</v>
      </c>
      <c r="F48" s="66">
        <f>_xlfn.XLOOKUP(CoreValuesResults[[#This Row],[Team Number]],InnovationProjectResults[Team Number],InnovationProjectResults[Communicate 2 (CV)])</f>
        <v>0</v>
      </c>
      <c r="G48" s="66">
        <f>_xlfn.XLOOKUP(CoreValuesResults[[#This Row],[Team Number]],RobotDesignResults[Team Number],RobotDesignResults[Identify 2 (CV)])</f>
        <v>0</v>
      </c>
      <c r="H48" s="66">
        <f>_xlfn.XLOOKUP(CoreValuesResults[[#This Row],[Team Number]],RobotDesignResults[Team Number],RobotDesignResults[Iterate 3 (CV)])</f>
        <v>0</v>
      </c>
      <c r="I48" s="66">
        <f>_xlfn.XLOOKUP(CoreValuesResults[[#This Row],[Team Number]],RobotDesignResults[Team Number],RobotDesignResults[Communicate 1 (CV)])</f>
        <v>0</v>
      </c>
      <c r="J48" s="66">
        <f>_xlfn.XLOOKUP(CoreValuesResults[[#This Row],[Team Number]],RobotDesignResults[Team Number],RobotDesignResults[Communicate 2 (CV)])</f>
        <v>0</v>
      </c>
      <c r="K48" s="12"/>
      <c r="L48" s="12"/>
      <c r="M48" s="12"/>
      <c r="N48" s="12"/>
      <c r="O48" s="12"/>
      <c r="P48" s="12"/>
      <c r="Q48" s="8" t="str">
        <f>IF(CoreValuesResults[[#This Row],[Gracious Professionalism 1]]="","",COUNTIF(CoreValuesResults[[#This Row],[Gracious Professionalism 1]:[Gracious Professionalism 5]],""))</f>
        <v/>
      </c>
      <c r="R48" s="8" t="str">
        <f>IF(CoreValuesResults[[#This Row],[Gracious Professionalism 1]]="","",SUM(CoreValuesResults[[#This Row],[Gracious Professionalism 1]:[Gracious Professionalism 5]]))</f>
        <v/>
      </c>
      <c r="S48"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48" s="34">
        <f>SUM(CoreValuesResults[[#This Row],[Project CV 1 - EXPLORE]:[Engineering CV 4 - COMMUNINCATE]],CoreValuesResults[[#This Row],[Gracious Professionalism Score]])</f>
        <v>0</v>
      </c>
      <c r="U48" s="21">
        <f>IF(CoreValuesResults[[#This Row],[Team Number]]&gt;0,MIN(_xlfn.RANK.EQ(CoreValuesResults[[#This Row],[Core Values Score]],CoreValuesResults[Core Values Score],0),NumberOfTeams),NumberOfTeams+1)</f>
        <v>9</v>
      </c>
      <c r="V48" s="35"/>
      <c r="W48" s="35"/>
    </row>
    <row r="49" spans="1:23" ht="30" customHeight="1" x14ac:dyDescent="0.25">
      <c r="A49" s="8">
        <f>_xlfn.XLOOKUP(48,OfficialTeamList[Row],OfficialTeamList[Team Number],"ERROR",0)</f>
        <v>0</v>
      </c>
      <c r="B49" s="20" t="str">
        <f>_xlfn.XLOOKUP(CoreValuesResults[[#This Row],[Team Number]],OfficialTeamList[Team Number],OfficialTeamList[Team Name],"",0,)</f>
        <v/>
      </c>
      <c r="C49" s="66">
        <f>_xlfn.XLOOKUP(CoreValuesResults[[#This Row],[Team Number]],InnovationProjectResults[Team Number],InnovationProjectResults[Explore 2 (CV)])</f>
        <v>0</v>
      </c>
      <c r="D49" s="66">
        <f>_xlfn.XLOOKUP(CoreValuesResults[[#This Row],[Team Number]],InnovationProjectResults[Team Number],InnovationProjectResults[Ideate 3 (CV)])</f>
        <v>0</v>
      </c>
      <c r="E49" s="66">
        <f>_xlfn.XLOOKUP(CoreValuesResults[[#This Row],[Team Number]],InnovationProjectResults[Team Number],InnovationProjectResults[Implement 1 (CV)])</f>
        <v>0</v>
      </c>
      <c r="F49" s="66">
        <f>_xlfn.XLOOKUP(CoreValuesResults[[#This Row],[Team Number]],InnovationProjectResults[Team Number],InnovationProjectResults[Communicate 2 (CV)])</f>
        <v>0</v>
      </c>
      <c r="G49" s="66">
        <f>_xlfn.XLOOKUP(CoreValuesResults[[#This Row],[Team Number]],RobotDesignResults[Team Number],RobotDesignResults[Identify 2 (CV)])</f>
        <v>0</v>
      </c>
      <c r="H49" s="66">
        <f>_xlfn.XLOOKUP(CoreValuesResults[[#This Row],[Team Number]],RobotDesignResults[Team Number],RobotDesignResults[Iterate 3 (CV)])</f>
        <v>0</v>
      </c>
      <c r="I49" s="66">
        <f>_xlfn.XLOOKUP(CoreValuesResults[[#This Row],[Team Number]],RobotDesignResults[Team Number],RobotDesignResults[Communicate 1 (CV)])</f>
        <v>0</v>
      </c>
      <c r="J49" s="66">
        <f>_xlfn.XLOOKUP(CoreValuesResults[[#This Row],[Team Number]],RobotDesignResults[Team Number],RobotDesignResults[Communicate 2 (CV)])</f>
        <v>0</v>
      </c>
      <c r="K49" s="12"/>
      <c r="L49" s="12"/>
      <c r="M49" s="12"/>
      <c r="N49" s="12"/>
      <c r="O49" s="12"/>
      <c r="P49" s="12"/>
      <c r="Q49" s="8" t="str">
        <f>IF(CoreValuesResults[[#This Row],[Gracious Professionalism 1]]="","",COUNTIF(CoreValuesResults[[#This Row],[Gracious Professionalism 1]:[Gracious Professionalism 5]],""))</f>
        <v/>
      </c>
      <c r="R49" s="8" t="str">
        <f>IF(CoreValuesResults[[#This Row],[Gracious Professionalism 1]]="","",SUM(CoreValuesResults[[#This Row],[Gracious Professionalism 1]:[Gracious Professionalism 5]]))</f>
        <v/>
      </c>
      <c r="S49"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49" s="34">
        <f>SUM(CoreValuesResults[[#This Row],[Project CV 1 - EXPLORE]:[Engineering CV 4 - COMMUNINCATE]],CoreValuesResults[[#This Row],[Gracious Professionalism Score]])</f>
        <v>0</v>
      </c>
      <c r="U49" s="21">
        <f>IF(CoreValuesResults[[#This Row],[Team Number]]&gt;0,MIN(_xlfn.RANK.EQ(CoreValuesResults[[#This Row],[Core Values Score]],CoreValuesResults[Core Values Score],0),NumberOfTeams),NumberOfTeams+1)</f>
        <v>9</v>
      </c>
      <c r="V49" s="35"/>
      <c r="W49" s="35"/>
    </row>
    <row r="50" spans="1:23" ht="30" customHeight="1" x14ac:dyDescent="0.25">
      <c r="A50" s="8">
        <f>_xlfn.XLOOKUP(49,OfficialTeamList[Row],OfficialTeamList[Team Number],"ERROR",0)</f>
        <v>0</v>
      </c>
      <c r="B50" s="20" t="str">
        <f>_xlfn.XLOOKUP(CoreValuesResults[[#This Row],[Team Number]],OfficialTeamList[Team Number],OfficialTeamList[Team Name],"",0,)</f>
        <v/>
      </c>
      <c r="C50" s="66">
        <f>_xlfn.XLOOKUP(CoreValuesResults[[#This Row],[Team Number]],InnovationProjectResults[Team Number],InnovationProjectResults[Explore 2 (CV)])</f>
        <v>0</v>
      </c>
      <c r="D50" s="66">
        <f>_xlfn.XLOOKUP(CoreValuesResults[[#This Row],[Team Number]],InnovationProjectResults[Team Number],InnovationProjectResults[Ideate 3 (CV)])</f>
        <v>0</v>
      </c>
      <c r="E50" s="66">
        <f>_xlfn.XLOOKUP(CoreValuesResults[[#This Row],[Team Number]],InnovationProjectResults[Team Number],InnovationProjectResults[Implement 1 (CV)])</f>
        <v>0</v>
      </c>
      <c r="F50" s="66">
        <f>_xlfn.XLOOKUP(CoreValuesResults[[#This Row],[Team Number]],InnovationProjectResults[Team Number],InnovationProjectResults[Communicate 2 (CV)])</f>
        <v>0</v>
      </c>
      <c r="G50" s="66">
        <f>_xlfn.XLOOKUP(CoreValuesResults[[#This Row],[Team Number]],RobotDesignResults[Team Number],RobotDesignResults[Identify 2 (CV)])</f>
        <v>0</v>
      </c>
      <c r="H50" s="66">
        <f>_xlfn.XLOOKUP(CoreValuesResults[[#This Row],[Team Number]],RobotDesignResults[Team Number],RobotDesignResults[Iterate 3 (CV)])</f>
        <v>0</v>
      </c>
      <c r="I50" s="66">
        <f>_xlfn.XLOOKUP(CoreValuesResults[[#This Row],[Team Number]],RobotDesignResults[Team Number],RobotDesignResults[Communicate 1 (CV)])</f>
        <v>0</v>
      </c>
      <c r="J50" s="66">
        <f>_xlfn.XLOOKUP(CoreValuesResults[[#This Row],[Team Number]],RobotDesignResults[Team Number],RobotDesignResults[Communicate 2 (CV)])</f>
        <v>0</v>
      </c>
      <c r="K50" s="12"/>
      <c r="L50" s="12"/>
      <c r="M50" s="12"/>
      <c r="N50" s="12"/>
      <c r="O50" s="12"/>
      <c r="P50" s="12"/>
      <c r="Q50" s="8" t="str">
        <f>IF(CoreValuesResults[[#This Row],[Gracious Professionalism 1]]="","",COUNTIF(CoreValuesResults[[#This Row],[Gracious Professionalism 1]:[Gracious Professionalism 5]],""))</f>
        <v/>
      </c>
      <c r="R50" s="8" t="str">
        <f>IF(CoreValuesResults[[#This Row],[Gracious Professionalism 1]]="","",SUM(CoreValuesResults[[#This Row],[Gracious Professionalism 1]:[Gracious Professionalism 5]]))</f>
        <v/>
      </c>
      <c r="S50"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50" s="34">
        <f>SUM(CoreValuesResults[[#This Row],[Project CV 1 - EXPLORE]:[Engineering CV 4 - COMMUNINCATE]],CoreValuesResults[[#This Row],[Gracious Professionalism Score]])</f>
        <v>0</v>
      </c>
      <c r="U50" s="21">
        <f>IF(CoreValuesResults[[#This Row],[Team Number]]&gt;0,MIN(_xlfn.RANK.EQ(CoreValuesResults[[#This Row],[Core Values Score]],CoreValuesResults[Core Values Score],0),NumberOfTeams),NumberOfTeams+1)</f>
        <v>9</v>
      </c>
      <c r="V50" s="35"/>
      <c r="W50" s="35"/>
    </row>
    <row r="51" spans="1:23" ht="30" customHeight="1" x14ac:dyDescent="0.25">
      <c r="A51" s="8">
        <f>_xlfn.XLOOKUP(50,OfficialTeamList[Row],OfficialTeamList[Team Number],"ERROR",0)</f>
        <v>0</v>
      </c>
      <c r="B51" s="20" t="str">
        <f>_xlfn.XLOOKUP(CoreValuesResults[[#This Row],[Team Number]],OfficialTeamList[Team Number],OfficialTeamList[Team Name],"",0,)</f>
        <v/>
      </c>
      <c r="C51" s="66">
        <f>_xlfn.XLOOKUP(CoreValuesResults[[#This Row],[Team Number]],InnovationProjectResults[Team Number],InnovationProjectResults[Explore 2 (CV)])</f>
        <v>0</v>
      </c>
      <c r="D51" s="66">
        <f>_xlfn.XLOOKUP(CoreValuesResults[[#This Row],[Team Number]],InnovationProjectResults[Team Number],InnovationProjectResults[Ideate 3 (CV)])</f>
        <v>0</v>
      </c>
      <c r="E51" s="66">
        <f>_xlfn.XLOOKUP(CoreValuesResults[[#This Row],[Team Number]],InnovationProjectResults[Team Number],InnovationProjectResults[Implement 1 (CV)])</f>
        <v>0</v>
      </c>
      <c r="F51" s="66">
        <f>_xlfn.XLOOKUP(CoreValuesResults[[#This Row],[Team Number]],InnovationProjectResults[Team Number],InnovationProjectResults[Communicate 2 (CV)])</f>
        <v>0</v>
      </c>
      <c r="G51" s="66">
        <f>_xlfn.XLOOKUP(CoreValuesResults[[#This Row],[Team Number]],RobotDesignResults[Team Number],RobotDesignResults[Identify 2 (CV)])</f>
        <v>0</v>
      </c>
      <c r="H51" s="66">
        <f>_xlfn.XLOOKUP(CoreValuesResults[[#This Row],[Team Number]],RobotDesignResults[Team Number],RobotDesignResults[Iterate 3 (CV)])</f>
        <v>0</v>
      </c>
      <c r="I51" s="66">
        <f>_xlfn.XLOOKUP(CoreValuesResults[[#This Row],[Team Number]],RobotDesignResults[Team Number],RobotDesignResults[Communicate 1 (CV)])</f>
        <v>0</v>
      </c>
      <c r="J51" s="66">
        <f>_xlfn.XLOOKUP(CoreValuesResults[[#This Row],[Team Number]],RobotDesignResults[Team Number],RobotDesignResults[Communicate 2 (CV)])</f>
        <v>0</v>
      </c>
      <c r="K51" s="12"/>
      <c r="L51" s="12"/>
      <c r="M51" s="12"/>
      <c r="N51" s="12"/>
      <c r="O51" s="12"/>
      <c r="P51" s="12"/>
      <c r="Q51" s="8" t="str">
        <f>IF(CoreValuesResults[[#This Row],[Gracious Professionalism 1]]="","",COUNTIF(CoreValuesResults[[#This Row],[Gracious Professionalism 1]:[Gracious Professionalism 5]],""))</f>
        <v/>
      </c>
      <c r="R51" s="8" t="str">
        <f>IF(CoreValuesResults[[#This Row],[Gracious Professionalism 1]]="","",SUM(CoreValuesResults[[#This Row],[Gracious Professionalism 1]:[Gracious Professionalism 5]]))</f>
        <v/>
      </c>
      <c r="S51"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51" s="34">
        <f>SUM(CoreValuesResults[[#This Row],[Project CV 1 - EXPLORE]:[Engineering CV 4 - COMMUNINCATE]],CoreValuesResults[[#This Row],[Gracious Professionalism Score]])</f>
        <v>0</v>
      </c>
      <c r="U51" s="21">
        <f>IF(CoreValuesResults[[#This Row],[Team Number]]&gt;0,MIN(_xlfn.RANK.EQ(CoreValuesResults[[#This Row],[Core Values Score]],CoreValuesResults[Core Values Score],0),NumberOfTeams),NumberOfTeams+1)</f>
        <v>9</v>
      </c>
      <c r="V51" s="35"/>
      <c r="W51" s="35"/>
    </row>
    <row r="52" spans="1:23" ht="30" customHeight="1" x14ac:dyDescent="0.25">
      <c r="A52" s="8">
        <f>_xlfn.XLOOKUP(51,OfficialTeamList[Row],OfficialTeamList[Team Number],"ERROR",0)</f>
        <v>0</v>
      </c>
      <c r="B52" s="20" t="str">
        <f>_xlfn.XLOOKUP(CoreValuesResults[[#This Row],[Team Number]],OfficialTeamList[Team Number],OfficialTeamList[Team Name],"",0,)</f>
        <v/>
      </c>
      <c r="C52" s="66">
        <f>_xlfn.XLOOKUP(CoreValuesResults[[#This Row],[Team Number]],InnovationProjectResults[Team Number],InnovationProjectResults[Explore 2 (CV)])</f>
        <v>0</v>
      </c>
      <c r="D52" s="66">
        <f>_xlfn.XLOOKUP(CoreValuesResults[[#This Row],[Team Number]],InnovationProjectResults[Team Number],InnovationProjectResults[Ideate 3 (CV)])</f>
        <v>0</v>
      </c>
      <c r="E52" s="66">
        <f>_xlfn.XLOOKUP(CoreValuesResults[[#This Row],[Team Number]],InnovationProjectResults[Team Number],InnovationProjectResults[Implement 1 (CV)])</f>
        <v>0</v>
      </c>
      <c r="F52" s="66">
        <f>_xlfn.XLOOKUP(CoreValuesResults[[#This Row],[Team Number]],InnovationProjectResults[Team Number],InnovationProjectResults[Communicate 2 (CV)])</f>
        <v>0</v>
      </c>
      <c r="G52" s="66">
        <f>_xlfn.XLOOKUP(CoreValuesResults[[#This Row],[Team Number]],RobotDesignResults[Team Number],RobotDesignResults[Identify 2 (CV)])</f>
        <v>0</v>
      </c>
      <c r="H52" s="66">
        <f>_xlfn.XLOOKUP(CoreValuesResults[[#This Row],[Team Number]],RobotDesignResults[Team Number],RobotDesignResults[Iterate 3 (CV)])</f>
        <v>0</v>
      </c>
      <c r="I52" s="66">
        <f>_xlfn.XLOOKUP(CoreValuesResults[[#This Row],[Team Number]],RobotDesignResults[Team Number],RobotDesignResults[Communicate 1 (CV)])</f>
        <v>0</v>
      </c>
      <c r="J52" s="66">
        <f>_xlfn.XLOOKUP(CoreValuesResults[[#This Row],[Team Number]],RobotDesignResults[Team Number],RobotDesignResults[Communicate 2 (CV)])</f>
        <v>0</v>
      </c>
      <c r="K52" s="12"/>
      <c r="L52" s="12"/>
      <c r="M52" s="12"/>
      <c r="N52" s="12"/>
      <c r="O52" s="12"/>
      <c r="P52" s="12"/>
      <c r="Q52" s="8" t="str">
        <f>IF(CoreValuesResults[[#This Row],[Gracious Professionalism 1]]="","",COUNTIF(CoreValuesResults[[#This Row],[Gracious Professionalism 1]:[Gracious Professionalism 5]],""))</f>
        <v/>
      </c>
      <c r="R52" s="8" t="str">
        <f>IF(CoreValuesResults[[#This Row],[Gracious Professionalism 1]]="","",SUM(CoreValuesResults[[#This Row],[Gracious Professionalism 1]:[Gracious Professionalism 5]]))</f>
        <v/>
      </c>
      <c r="S52"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52" s="34">
        <f>SUM(CoreValuesResults[[#This Row],[Project CV 1 - EXPLORE]:[Engineering CV 4 - COMMUNINCATE]],CoreValuesResults[[#This Row],[Gracious Professionalism Score]])</f>
        <v>0</v>
      </c>
      <c r="U52" s="21">
        <f>IF(CoreValuesResults[[#This Row],[Team Number]]&gt;0,MIN(_xlfn.RANK.EQ(CoreValuesResults[[#This Row],[Core Values Score]],CoreValuesResults[Core Values Score],0),NumberOfTeams),NumberOfTeams+1)</f>
        <v>9</v>
      </c>
      <c r="V52" s="35"/>
      <c r="W52" s="35"/>
    </row>
    <row r="53" spans="1:23" ht="30" customHeight="1" x14ac:dyDescent="0.25">
      <c r="A53" s="8">
        <f>_xlfn.XLOOKUP(52,OfficialTeamList[Row],OfficialTeamList[Team Number],"ERROR",0)</f>
        <v>0</v>
      </c>
      <c r="B53" s="20" t="str">
        <f>_xlfn.XLOOKUP(CoreValuesResults[[#This Row],[Team Number]],OfficialTeamList[Team Number],OfficialTeamList[Team Name],"",0,)</f>
        <v/>
      </c>
      <c r="C53" s="66">
        <f>_xlfn.XLOOKUP(CoreValuesResults[[#This Row],[Team Number]],InnovationProjectResults[Team Number],InnovationProjectResults[Explore 2 (CV)])</f>
        <v>0</v>
      </c>
      <c r="D53" s="66">
        <f>_xlfn.XLOOKUP(CoreValuesResults[[#This Row],[Team Number]],InnovationProjectResults[Team Number],InnovationProjectResults[Ideate 3 (CV)])</f>
        <v>0</v>
      </c>
      <c r="E53" s="66">
        <f>_xlfn.XLOOKUP(CoreValuesResults[[#This Row],[Team Number]],InnovationProjectResults[Team Number],InnovationProjectResults[Implement 1 (CV)])</f>
        <v>0</v>
      </c>
      <c r="F53" s="66">
        <f>_xlfn.XLOOKUP(CoreValuesResults[[#This Row],[Team Number]],InnovationProjectResults[Team Number],InnovationProjectResults[Communicate 2 (CV)])</f>
        <v>0</v>
      </c>
      <c r="G53" s="66">
        <f>_xlfn.XLOOKUP(CoreValuesResults[[#This Row],[Team Number]],RobotDesignResults[Team Number],RobotDesignResults[Identify 2 (CV)])</f>
        <v>0</v>
      </c>
      <c r="H53" s="66">
        <f>_xlfn.XLOOKUP(CoreValuesResults[[#This Row],[Team Number]],RobotDesignResults[Team Number],RobotDesignResults[Iterate 3 (CV)])</f>
        <v>0</v>
      </c>
      <c r="I53" s="66">
        <f>_xlfn.XLOOKUP(CoreValuesResults[[#This Row],[Team Number]],RobotDesignResults[Team Number],RobotDesignResults[Communicate 1 (CV)])</f>
        <v>0</v>
      </c>
      <c r="J53" s="66">
        <f>_xlfn.XLOOKUP(CoreValuesResults[[#This Row],[Team Number]],RobotDesignResults[Team Number],RobotDesignResults[Communicate 2 (CV)])</f>
        <v>0</v>
      </c>
      <c r="K53" s="12"/>
      <c r="L53" s="12"/>
      <c r="M53" s="12"/>
      <c r="N53" s="12"/>
      <c r="O53" s="12"/>
      <c r="P53" s="12"/>
      <c r="Q53" s="8" t="str">
        <f>IF(CoreValuesResults[[#This Row],[Gracious Professionalism 1]]="","",COUNTIF(CoreValuesResults[[#This Row],[Gracious Professionalism 1]:[Gracious Professionalism 5]],""))</f>
        <v/>
      </c>
      <c r="R53" s="8" t="str">
        <f>IF(CoreValuesResults[[#This Row],[Gracious Professionalism 1]]="","",SUM(CoreValuesResults[[#This Row],[Gracious Professionalism 1]:[Gracious Professionalism 5]]))</f>
        <v/>
      </c>
      <c r="S53"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53" s="34">
        <f>SUM(CoreValuesResults[[#This Row],[Project CV 1 - EXPLORE]:[Engineering CV 4 - COMMUNINCATE]],CoreValuesResults[[#This Row],[Gracious Professionalism Score]])</f>
        <v>0</v>
      </c>
      <c r="U53" s="21">
        <f>IF(CoreValuesResults[[#This Row],[Team Number]]&gt;0,MIN(_xlfn.RANK.EQ(CoreValuesResults[[#This Row],[Core Values Score]],CoreValuesResults[Core Values Score],0),NumberOfTeams),NumberOfTeams+1)</f>
        <v>9</v>
      </c>
      <c r="V53" s="35"/>
      <c r="W53" s="35"/>
    </row>
    <row r="54" spans="1:23" ht="30" customHeight="1" x14ac:dyDescent="0.25">
      <c r="A54" s="8">
        <f>_xlfn.XLOOKUP(53,OfficialTeamList[Row],OfficialTeamList[Team Number],"ERROR",0)</f>
        <v>0</v>
      </c>
      <c r="B54" s="20" t="str">
        <f>_xlfn.XLOOKUP(CoreValuesResults[[#This Row],[Team Number]],OfficialTeamList[Team Number],OfficialTeamList[Team Name],"",0,)</f>
        <v/>
      </c>
      <c r="C54" s="66">
        <f>_xlfn.XLOOKUP(CoreValuesResults[[#This Row],[Team Number]],InnovationProjectResults[Team Number],InnovationProjectResults[Explore 2 (CV)])</f>
        <v>0</v>
      </c>
      <c r="D54" s="66">
        <f>_xlfn.XLOOKUP(CoreValuesResults[[#This Row],[Team Number]],InnovationProjectResults[Team Number],InnovationProjectResults[Ideate 3 (CV)])</f>
        <v>0</v>
      </c>
      <c r="E54" s="66">
        <f>_xlfn.XLOOKUP(CoreValuesResults[[#This Row],[Team Number]],InnovationProjectResults[Team Number],InnovationProjectResults[Implement 1 (CV)])</f>
        <v>0</v>
      </c>
      <c r="F54" s="66">
        <f>_xlfn.XLOOKUP(CoreValuesResults[[#This Row],[Team Number]],InnovationProjectResults[Team Number],InnovationProjectResults[Communicate 2 (CV)])</f>
        <v>0</v>
      </c>
      <c r="G54" s="66">
        <f>_xlfn.XLOOKUP(CoreValuesResults[[#This Row],[Team Number]],RobotDesignResults[Team Number],RobotDesignResults[Identify 2 (CV)])</f>
        <v>0</v>
      </c>
      <c r="H54" s="66">
        <f>_xlfn.XLOOKUP(CoreValuesResults[[#This Row],[Team Number]],RobotDesignResults[Team Number],RobotDesignResults[Iterate 3 (CV)])</f>
        <v>0</v>
      </c>
      <c r="I54" s="66">
        <f>_xlfn.XLOOKUP(CoreValuesResults[[#This Row],[Team Number]],RobotDesignResults[Team Number],RobotDesignResults[Communicate 1 (CV)])</f>
        <v>0</v>
      </c>
      <c r="J54" s="66">
        <f>_xlfn.XLOOKUP(CoreValuesResults[[#This Row],[Team Number]],RobotDesignResults[Team Number],RobotDesignResults[Communicate 2 (CV)])</f>
        <v>0</v>
      </c>
      <c r="K54" s="12"/>
      <c r="L54" s="12"/>
      <c r="M54" s="12"/>
      <c r="N54" s="12"/>
      <c r="O54" s="12"/>
      <c r="P54" s="12"/>
      <c r="Q54" s="8" t="str">
        <f>IF(CoreValuesResults[[#This Row],[Gracious Professionalism 1]]="","",COUNTIF(CoreValuesResults[[#This Row],[Gracious Professionalism 1]:[Gracious Professionalism 5]],""))</f>
        <v/>
      </c>
      <c r="R54" s="8" t="str">
        <f>IF(CoreValuesResults[[#This Row],[Gracious Professionalism 1]]="","",SUM(CoreValuesResults[[#This Row],[Gracious Professionalism 1]:[Gracious Professionalism 5]]))</f>
        <v/>
      </c>
      <c r="S54"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54" s="34">
        <f>SUM(CoreValuesResults[[#This Row],[Project CV 1 - EXPLORE]:[Engineering CV 4 - COMMUNINCATE]],CoreValuesResults[[#This Row],[Gracious Professionalism Score]])</f>
        <v>0</v>
      </c>
      <c r="U54" s="21">
        <f>IF(CoreValuesResults[[#This Row],[Team Number]]&gt;0,MIN(_xlfn.RANK.EQ(CoreValuesResults[[#This Row],[Core Values Score]],CoreValuesResults[Core Values Score],0),NumberOfTeams),NumberOfTeams+1)</f>
        <v>9</v>
      </c>
      <c r="V54" s="35"/>
      <c r="W54" s="35"/>
    </row>
    <row r="55" spans="1:23" ht="30" customHeight="1" x14ac:dyDescent="0.25">
      <c r="A55" s="8">
        <f>_xlfn.XLOOKUP(54,OfficialTeamList[Row],OfficialTeamList[Team Number],"ERROR",0)</f>
        <v>0</v>
      </c>
      <c r="B55" s="20" t="str">
        <f>_xlfn.XLOOKUP(CoreValuesResults[[#This Row],[Team Number]],OfficialTeamList[Team Number],OfficialTeamList[Team Name],"",0,)</f>
        <v/>
      </c>
      <c r="C55" s="66">
        <f>_xlfn.XLOOKUP(CoreValuesResults[[#This Row],[Team Number]],InnovationProjectResults[Team Number],InnovationProjectResults[Explore 2 (CV)])</f>
        <v>0</v>
      </c>
      <c r="D55" s="66">
        <f>_xlfn.XLOOKUP(CoreValuesResults[[#This Row],[Team Number]],InnovationProjectResults[Team Number],InnovationProjectResults[Ideate 3 (CV)])</f>
        <v>0</v>
      </c>
      <c r="E55" s="66">
        <f>_xlfn.XLOOKUP(CoreValuesResults[[#This Row],[Team Number]],InnovationProjectResults[Team Number],InnovationProjectResults[Implement 1 (CV)])</f>
        <v>0</v>
      </c>
      <c r="F55" s="66">
        <f>_xlfn.XLOOKUP(CoreValuesResults[[#This Row],[Team Number]],InnovationProjectResults[Team Number],InnovationProjectResults[Communicate 2 (CV)])</f>
        <v>0</v>
      </c>
      <c r="G55" s="66">
        <f>_xlfn.XLOOKUP(CoreValuesResults[[#This Row],[Team Number]],RobotDesignResults[Team Number],RobotDesignResults[Identify 2 (CV)])</f>
        <v>0</v>
      </c>
      <c r="H55" s="66">
        <f>_xlfn.XLOOKUP(CoreValuesResults[[#This Row],[Team Number]],RobotDesignResults[Team Number],RobotDesignResults[Iterate 3 (CV)])</f>
        <v>0</v>
      </c>
      <c r="I55" s="66">
        <f>_xlfn.XLOOKUP(CoreValuesResults[[#This Row],[Team Number]],RobotDesignResults[Team Number],RobotDesignResults[Communicate 1 (CV)])</f>
        <v>0</v>
      </c>
      <c r="J55" s="66">
        <f>_xlfn.XLOOKUP(CoreValuesResults[[#This Row],[Team Number]],RobotDesignResults[Team Number],RobotDesignResults[Communicate 2 (CV)])</f>
        <v>0</v>
      </c>
      <c r="K55" s="12"/>
      <c r="L55" s="12"/>
      <c r="M55" s="12"/>
      <c r="N55" s="12"/>
      <c r="O55" s="12"/>
      <c r="P55" s="12"/>
      <c r="Q55" s="8" t="str">
        <f>IF(CoreValuesResults[[#This Row],[Gracious Professionalism 1]]="","",COUNTIF(CoreValuesResults[[#This Row],[Gracious Professionalism 1]:[Gracious Professionalism 5]],""))</f>
        <v/>
      </c>
      <c r="R55" s="8" t="str">
        <f>IF(CoreValuesResults[[#This Row],[Gracious Professionalism 1]]="","",SUM(CoreValuesResults[[#This Row],[Gracious Professionalism 1]:[Gracious Professionalism 5]]))</f>
        <v/>
      </c>
      <c r="S55"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55" s="34">
        <f>SUM(CoreValuesResults[[#This Row],[Project CV 1 - EXPLORE]:[Engineering CV 4 - COMMUNINCATE]],CoreValuesResults[[#This Row],[Gracious Professionalism Score]])</f>
        <v>0</v>
      </c>
      <c r="U55" s="21">
        <f>IF(CoreValuesResults[[#This Row],[Team Number]]&gt;0,MIN(_xlfn.RANK.EQ(CoreValuesResults[[#This Row],[Core Values Score]],CoreValuesResults[Core Values Score],0),NumberOfTeams),NumberOfTeams+1)</f>
        <v>9</v>
      </c>
      <c r="V55" s="35"/>
      <c r="W55" s="35"/>
    </row>
    <row r="56" spans="1:23" ht="30" customHeight="1" x14ac:dyDescent="0.25">
      <c r="A56" s="8">
        <f>_xlfn.XLOOKUP(55,OfficialTeamList[Row],OfficialTeamList[Team Number],"ERROR",0)</f>
        <v>0</v>
      </c>
      <c r="B56" s="20" t="str">
        <f>_xlfn.XLOOKUP(CoreValuesResults[[#This Row],[Team Number]],OfficialTeamList[Team Number],OfficialTeamList[Team Name],"",0,)</f>
        <v/>
      </c>
      <c r="C56" s="66">
        <f>_xlfn.XLOOKUP(CoreValuesResults[[#This Row],[Team Number]],InnovationProjectResults[Team Number],InnovationProjectResults[Explore 2 (CV)])</f>
        <v>0</v>
      </c>
      <c r="D56" s="66">
        <f>_xlfn.XLOOKUP(CoreValuesResults[[#This Row],[Team Number]],InnovationProjectResults[Team Number],InnovationProjectResults[Ideate 3 (CV)])</f>
        <v>0</v>
      </c>
      <c r="E56" s="66">
        <f>_xlfn.XLOOKUP(CoreValuesResults[[#This Row],[Team Number]],InnovationProjectResults[Team Number],InnovationProjectResults[Implement 1 (CV)])</f>
        <v>0</v>
      </c>
      <c r="F56" s="66">
        <f>_xlfn.XLOOKUP(CoreValuesResults[[#This Row],[Team Number]],InnovationProjectResults[Team Number],InnovationProjectResults[Communicate 2 (CV)])</f>
        <v>0</v>
      </c>
      <c r="G56" s="66">
        <f>_xlfn.XLOOKUP(CoreValuesResults[[#This Row],[Team Number]],RobotDesignResults[Team Number],RobotDesignResults[Identify 2 (CV)])</f>
        <v>0</v>
      </c>
      <c r="H56" s="66">
        <f>_xlfn.XLOOKUP(CoreValuesResults[[#This Row],[Team Number]],RobotDesignResults[Team Number],RobotDesignResults[Iterate 3 (CV)])</f>
        <v>0</v>
      </c>
      <c r="I56" s="66">
        <f>_xlfn.XLOOKUP(CoreValuesResults[[#This Row],[Team Number]],RobotDesignResults[Team Number],RobotDesignResults[Communicate 1 (CV)])</f>
        <v>0</v>
      </c>
      <c r="J56" s="66">
        <f>_xlfn.XLOOKUP(CoreValuesResults[[#This Row],[Team Number]],RobotDesignResults[Team Number],RobotDesignResults[Communicate 2 (CV)])</f>
        <v>0</v>
      </c>
      <c r="K56" s="12"/>
      <c r="L56" s="12"/>
      <c r="M56" s="12"/>
      <c r="N56" s="12"/>
      <c r="O56" s="12"/>
      <c r="P56" s="12"/>
      <c r="Q56" s="8" t="str">
        <f>IF(CoreValuesResults[[#This Row],[Gracious Professionalism 1]]="","",COUNTIF(CoreValuesResults[[#This Row],[Gracious Professionalism 1]:[Gracious Professionalism 5]],""))</f>
        <v/>
      </c>
      <c r="R56" s="8" t="str">
        <f>IF(CoreValuesResults[[#This Row],[Gracious Professionalism 1]]="","",SUM(CoreValuesResults[[#This Row],[Gracious Professionalism 1]:[Gracious Professionalism 5]]))</f>
        <v/>
      </c>
      <c r="S56"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56" s="34">
        <f>SUM(CoreValuesResults[[#This Row],[Project CV 1 - EXPLORE]:[Engineering CV 4 - COMMUNINCATE]],CoreValuesResults[[#This Row],[Gracious Professionalism Score]])</f>
        <v>0</v>
      </c>
      <c r="U56" s="21">
        <f>IF(CoreValuesResults[[#This Row],[Team Number]]&gt;0,MIN(_xlfn.RANK.EQ(CoreValuesResults[[#This Row],[Core Values Score]],CoreValuesResults[Core Values Score],0),NumberOfTeams),NumberOfTeams+1)</f>
        <v>9</v>
      </c>
      <c r="V56" s="35"/>
      <c r="W56" s="35"/>
    </row>
    <row r="57" spans="1:23" ht="30" customHeight="1" x14ac:dyDescent="0.25">
      <c r="A57" s="8">
        <f>_xlfn.XLOOKUP(56,OfficialTeamList[Row],OfficialTeamList[Team Number],"ERROR",0)</f>
        <v>0</v>
      </c>
      <c r="B57" s="20" t="str">
        <f>_xlfn.XLOOKUP(CoreValuesResults[[#This Row],[Team Number]],OfficialTeamList[Team Number],OfficialTeamList[Team Name],"",0,)</f>
        <v/>
      </c>
      <c r="C57" s="66">
        <f>_xlfn.XLOOKUP(CoreValuesResults[[#This Row],[Team Number]],InnovationProjectResults[Team Number],InnovationProjectResults[Explore 2 (CV)])</f>
        <v>0</v>
      </c>
      <c r="D57" s="66">
        <f>_xlfn.XLOOKUP(CoreValuesResults[[#This Row],[Team Number]],InnovationProjectResults[Team Number],InnovationProjectResults[Ideate 3 (CV)])</f>
        <v>0</v>
      </c>
      <c r="E57" s="66">
        <f>_xlfn.XLOOKUP(CoreValuesResults[[#This Row],[Team Number]],InnovationProjectResults[Team Number],InnovationProjectResults[Implement 1 (CV)])</f>
        <v>0</v>
      </c>
      <c r="F57" s="66">
        <f>_xlfn.XLOOKUP(CoreValuesResults[[#This Row],[Team Number]],InnovationProjectResults[Team Number],InnovationProjectResults[Communicate 2 (CV)])</f>
        <v>0</v>
      </c>
      <c r="G57" s="66">
        <f>_xlfn.XLOOKUP(CoreValuesResults[[#This Row],[Team Number]],RobotDesignResults[Team Number],RobotDesignResults[Identify 2 (CV)])</f>
        <v>0</v>
      </c>
      <c r="H57" s="66">
        <f>_xlfn.XLOOKUP(CoreValuesResults[[#This Row],[Team Number]],RobotDesignResults[Team Number],RobotDesignResults[Iterate 3 (CV)])</f>
        <v>0</v>
      </c>
      <c r="I57" s="66">
        <f>_xlfn.XLOOKUP(CoreValuesResults[[#This Row],[Team Number]],RobotDesignResults[Team Number],RobotDesignResults[Communicate 1 (CV)])</f>
        <v>0</v>
      </c>
      <c r="J57" s="66">
        <f>_xlfn.XLOOKUP(CoreValuesResults[[#This Row],[Team Number]],RobotDesignResults[Team Number],RobotDesignResults[Communicate 2 (CV)])</f>
        <v>0</v>
      </c>
      <c r="K57" s="12"/>
      <c r="L57" s="12"/>
      <c r="M57" s="12"/>
      <c r="N57" s="12"/>
      <c r="O57" s="12"/>
      <c r="P57" s="12"/>
      <c r="Q57" s="8" t="str">
        <f>IF(CoreValuesResults[[#This Row],[Gracious Professionalism 1]]="","",COUNTIF(CoreValuesResults[[#This Row],[Gracious Professionalism 1]:[Gracious Professionalism 5]],""))</f>
        <v/>
      </c>
      <c r="R57" s="8" t="str">
        <f>IF(CoreValuesResults[[#This Row],[Gracious Professionalism 1]]="","",SUM(CoreValuesResults[[#This Row],[Gracious Professionalism 1]:[Gracious Professionalism 5]]))</f>
        <v/>
      </c>
      <c r="S57"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57" s="34">
        <f>SUM(CoreValuesResults[[#This Row],[Project CV 1 - EXPLORE]:[Engineering CV 4 - COMMUNINCATE]],CoreValuesResults[[#This Row],[Gracious Professionalism Score]])</f>
        <v>0</v>
      </c>
      <c r="U57" s="21">
        <f>IF(CoreValuesResults[[#This Row],[Team Number]]&gt;0,MIN(_xlfn.RANK.EQ(CoreValuesResults[[#This Row],[Core Values Score]],CoreValuesResults[Core Values Score],0),NumberOfTeams),NumberOfTeams+1)</f>
        <v>9</v>
      </c>
      <c r="V57" s="35"/>
      <c r="W57" s="35"/>
    </row>
    <row r="58" spans="1:23" ht="30" customHeight="1" x14ac:dyDescent="0.25">
      <c r="A58" s="8">
        <f>_xlfn.XLOOKUP(57,OfficialTeamList[Row],OfficialTeamList[Team Number],"ERROR",0)</f>
        <v>0</v>
      </c>
      <c r="B58" s="20" t="str">
        <f>_xlfn.XLOOKUP(CoreValuesResults[[#This Row],[Team Number]],OfficialTeamList[Team Number],OfficialTeamList[Team Name],"",0,)</f>
        <v/>
      </c>
      <c r="C58" s="66">
        <f>_xlfn.XLOOKUP(CoreValuesResults[[#This Row],[Team Number]],InnovationProjectResults[Team Number],InnovationProjectResults[Explore 2 (CV)])</f>
        <v>0</v>
      </c>
      <c r="D58" s="66">
        <f>_xlfn.XLOOKUP(CoreValuesResults[[#This Row],[Team Number]],InnovationProjectResults[Team Number],InnovationProjectResults[Ideate 3 (CV)])</f>
        <v>0</v>
      </c>
      <c r="E58" s="66">
        <f>_xlfn.XLOOKUP(CoreValuesResults[[#This Row],[Team Number]],InnovationProjectResults[Team Number],InnovationProjectResults[Implement 1 (CV)])</f>
        <v>0</v>
      </c>
      <c r="F58" s="66">
        <f>_xlfn.XLOOKUP(CoreValuesResults[[#This Row],[Team Number]],InnovationProjectResults[Team Number],InnovationProjectResults[Communicate 2 (CV)])</f>
        <v>0</v>
      </c>
      <c r="G58" s="66">
        <f>_xlfn.XLOOKUP(CoreValuesResults[[#This Row],[Team Number]],RobotDesignResults[Team Number],RobotDesignResults[Identify 2 (CV)])</f>
        <v>0</v>
      </c>
      <c r="H58" s="66">
        <f>_xlfn.XLOOKUP(CoreValuesResults[[#This Row],[Team Number]],RobotDesignResults[Team Number],RobotDesignResults[Iterate 3 (CV)])</f>
        <v>0</v>
      </c>
      <c r="I58" s="66">
        <f>_xlfn.XLOOKUP(CoreValuesResults[[#This Row],[Team Number]],RobotDesignResults[Team Number],RobotDesignResults[Communicate 1 (CV)])</f>
        <v>0</v>
      </c>
      <c r="J58" s="66">
        <f>_xlfn.XLOOKUP(CoreValuesResults[[#This Row],[Team Number]],RobotDesignResults[Team Number],RobotDesignResults[Communicate 2 (CV)])</f>
        <v>0</v>
      </c>
      <c r="K58" s="12"/>
      <c r="L58" s="12"/>
      <c r="M58" s="12"/>
      <c r="N58" s="12"/>
      <c r="O58" s="12"/>
      <c r="P58" s="12"/>
      <c r="Q58" s="8" t="str">
        <f>IF(CoreValuesResults[[#This Row],[Gracious Professionalism 1]]="","",COUNTIF(CoreValuesResults[[#This Row],[Gracious Professionalism 1]:[Gracious Professionalism 5]],""))</f>
        <v/>
      </c>
      <c r="R58" s="8" t="str">
        <f>IF(CoreValuesResults[[#This Row],[Gracious Professionalism 1]]="","",SUM(CoreValuesResults[[#This Row],[Gracious Professionalism 1]:[Gracious Professionalism 5]]))</f>
        <v/>
      </c>
      <c r="S58"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58" s="34">
        <f>SUM(CoreValuesResults[[#This Row],[Project CV 1 - EXPLORE]:[Engineering CV 4 - COMMUNINCATE]],CoreValuesResults[[#This Row],[Gracious Professionalism Score]])</f>
        <v>0</v>
      </c>
      <c r="U58" s="21">
        <f>IF(CoreValuesResults[[#This Row],[Team Number]]&gt;0,MIN(_xlfn.RANK.EQ(CoreValuesResults[[#This Row],[Core Values Score]],CoreValuesResults[Core Values Score],0),NumberOfTeams),NumberOfTeams+1)</f>
        <v>9</v>
      </c>
      <c r="V58" s="35"/>
      <c r="W58" s="35"/>
    </row>
    <row r="59" spans="1:23" ht="30" customHeight="1" x14ac:dyDescent="0.25">
      <c r="A59" s="8">
        <f>_xlfn.XLOOKUP(58,OfficialTeamList[Row],OfficialTeamList[Team Number],"ERROR",0)</f>
        <v>0</v>
      </c>
      <c r="B59" s="20" t="str">
        <f>_xlfn.XLOOKUP(CoreValuesResults[[#This Row],[Team Number]],OfficialTeamList[Team Number],OfficialTeamList[Team Name],"",0,)</f>
        <v/>
      </c>
      <c r="C59" s="66">
        <f>_xlfn.XLOOKUP(CoreValuesResults[[#This Row],[Team Number]],InnovationProjectResults[Team Number],InnovationProjectResults[Explore 2 (CV)])</f>
        <v>0</v>
      </c>
      <c r="D59" s="66">
        <f>_xlfn.XLOOKUP(CoreValuesResults[[#This Row],[Team Number]],InnovationProjectResults[Team Number],InnovationProjectResults[Ideate 3 (CV)])</f>
        <v>0</v>
      </c>
      <c r="E59" s="66">
        <f>_xlfn.XLOOKUP(CoreValuesResults[[#This Row],[Team Number]],InnovationProjectResults[Team Number],InnovationProjectResults[Implement 1 (CV)])</f>
        <v>0</v>
      </c>
      <c r="F59" s="66">
        <f>_xlfn.XLOOKUP(CoreValuesResults[[#This Row],[Team Number]],InnovationProjectResults[Team Number],InnovationProjectResults[Communicate 2 (CV)])</f>
        <v>0</v>
      </c>
      <c r="G59" s="66">
        <f>_xlfn.XLOOKUP(CoreValuesResults[[#This Row],[Team Number]],RobotDesignResults[Team Number],RobotDesignResults[Identify 2 (CV)])</f>
        <v>0</v>
      </c>
      <c r="H59" s="66">
        <f>_xlfn.XLOOKUP(CoreValuesResults[[#This Row],[Team Number]],RobotDesignResults[Team Number],RobotDesignResults[Iterate 3 (CV)])</f>
        <v>0</v>
      </c>
      <c r="I59" s="66">
        <f>_xlfn.XLOOKUP(CoreValuesResults[[#This Row],[Team Number]],RobotDesignResults[Team Number],RobotDesignResults[Communicate 1 (CV)])</f>
        <v>0</v>
      </c>
      <c r="J59" s="66">
        <f>_xlfn.XLOOKUP(CoreValuesResults[[#This Row],[Team Number]],RobotDesignResults[Team Number],RobotDesignResults[Communicate 2 (CV)])</f>
        <v>0</v>
      </c>
      <c r="K59" s="12"/>
      <c r="L59" s="12"/>
      <c r="M59" s="12"/>
      <c r="N59" s="12"/>
      <c r="O59" s="12"/>
      <c r="P59" s="12"/>
      <c r="Q59" s="8" t="str">
        <f>IF(CoreValuesResults[[#This Row],[Gracious Professionalism 1]]="","",COUNTIF(CoreValuesResults[[#This Row],[Gracious Professionalism 1]:[Gracious Professionalism 5]],""))</f>
        <v/>
      </c>
      <c r="R59" s="8" t="str">
        <f>IF(CoreValuesResults[[#This Row],[Gracious Professionalism 1]]="","",SUM(CoreValuesResults[[#This Row],[Gracious Professionalism 1]:[Gracious Professionalism 5]]))</f>
        <v/>
      </c>
      <c r="S59"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59" s="34">
        <f>SUM(CoreValuesResults[[#This Row],[Project CV 1 - EXPLORE]:[Engineering CV 4 - COMMUNINCATE]],CoreValuesResults[[#This Row],[Gracious Professionalism Score]])</f>
        <v>0</v>
      </c>
      <c r="U59" s="21">
        <f>IF(CoreValuesResults[[#This Row],[Team Number]]&gt;0,MIN(_xlfn.RANK.EQ(CoreValuesResults[[#This Row],[Core Values Score]],CoreValuesResults[Core Values Score],0),NumberOfTeams),NumberOfTeams+1)</f>
        <v>9</v>
      </c>
      <c r="V59" s="35"/>
      <c r="W59" s="35"/>
    </row>
    <row r="60" spans="1:23" ht="30" customHeight="1" x14ac:dyDescent="0.25">
      <c r="A60" s="8">
        <f>_xlfn.XLOOKUP(59,OfficialTeamList[Row],OfficialTeamList[Team Number],"ERROR",0)</f>
        <v>0</v>
      </c>
      <c r="B60" s="20" t="str">
        <f>_xlfn.XLOOKUP(CoreValuesResults[[#This Row],[Team Number]],OfficialTeamList[Team Number],OfficialTeamList[Team Name],"",0,)</f>
        <v/>
      </c>
      <c r="C60" s="66">
        <f>_xlfn.XLOOKUP(CoreValuesResults[[#This Row],[Team Number]],InnovationProjectResults[Team Number],InnovationProjectResults[Explore 2 (CV)])</f>
        <v>0</v>
      </c>
      <c r="D60" s="66">
        <f>_xlfn.XLOOKUP(CoreValuesResults[[#This Row],[Team Number]],InnovationProjectResults[Team Number],InnovationProjectResults[Ideate 3 (CV)])</f>
        <v>0</v>
      </c>
      <c r="E60" s="66">
        <f>_xlfn.XLOOKUP(CoreValuesResults[[#This Row],[Team Number]],InnovationProjectResults[Team Number],InnovationProjectResults[Implement 1 (CV)])</f>
        <v>0</v>
      </c>
      <c r="F60" s="66">
        <f>_xlfn.XLOOKUP(CoreValuesResults[[#This Row],[Team Number]],InnovationProjectResults[Team Number],InnovationProjectResults[Communicate 2 (CV)])</f>
        <v>0</v>
      </c>
      <c r="G60" s="66">
        <f>_xlfn.XLOOKUP(CoreValuesResults[[#This Row],[Team Number]],RobotDesignResults[Team Number],RobotDesignResults[Identify 2 (CV)])</f>
        <v>0</v>
      </c>
      <c r="H60" s="66">
        <f>_xlfn.XLOOKUP(CoreValuesResults[[#This Row],[Team Number]],RobotDesignResults[Team Number],RobotDesignResults[Iterate 3 (CV)])</f>
        <v>0</v>
      </c>
      <c r="I60" s="66">
        <f>_xlfn.XLOOKUP(CoreValuesResults[[#This Row],[Team Number]],RobotDesignResults[Team Number],RobotDesignResults[Communicate 1 (CV)])</f>
        <v>0</v>
      </c>
      <c r="J60" s="66">
        <f>_xlfn.XLOOKUP(CoreValuesResults[[#This Row],[Team Number]],RobotDesignResults[Team Number],RobotDesignResults[Communicate 2 (CV)])</f>
        <v>0</v>
      </c>
      <c r="K60" s="12"/>
      <c r="L60" s="12"/>
      <c r="M60" s="12"/>
      <c r="N60" s="12"/>
      <c r="O60" s="12"/>
      <c r="P60" s="12"/>
      <c r="Q60" s="8" t="str">
        <f>IF(CoreValuesResults[[#This Row],[Gracious Professionalism 1]]="","",COUNTIF(CoreValuesResults[[#This Row],[Gracious Professionalism 1]:[Gracious Professionalism 5]],""))</f>
        <v/>
      </c>
      <c r="R60" s="8" t="str">
        <f>IF(CoreValuesResults[[#This Row],[Gracious Professionalism 1]]="","",SUM(CoreValuesResults[[#This Row],[Gracious Professionalism 1]:[Gracious Professionalism 5]]))</f>
        <v/>
      </c>
      <c r="S60"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60" s="34">
        <f>SUM(CoreValuesResults[[#This Row],[Project CV 1 - EXPLORE]:[Engineering CV 4 - COMMUNINCATE]],CoreValuesResults[[#This Row],[Gracious Professionalism Score]])</f>
        <v>0</v>
      </c>
      <c r="U60" s="21">
        <f>IF(CoreValuesResults[[#This Row],[Team Number]]&gt;0,MIN(_xlfn.RANK.EQ(CoreValuesResults[[#This Row],[Core Values Score]],CoreValuesResults[Core Values Score],0),NumberOfTeams),NumberOfTeams+1)</f>
        <v>9</v>
      </c>
      <c r="V60" s="35"/>
      <c r="W60" s="35"/>
    </row>
    <row r="61" spans="1:23" ht="30" customHeight="1" x14ac:dyDescent="0.25">
      <c r="A61" s="8">
        <f>_xlfn.XLOOKUP(60,OfficialTeamList[Row],OfficialTeamList[Team Number],"ERROR",0)</f>
        <v>0</v>
      </c>
      <c r="B61" s="20" t="str">
        <f>_xlfn.XLOOKUP(CoreValuesResults[[#This Row],[Team Number]],OfficialTeamList[Team Number],OfficialTeamList[Team Name],"",0,)</f>
        <v/>
      </c>
      <c r="C61" s="66">
        <f>_xlfn.XLOOKUP(CoreValuesResults[[#This Row],[Team Number]],InnovationProjectResults[Team Number],InnovationProjectResults[Explore 2 (CV)])</f>
        <v>0</v>
      </c>
      <c r="D61" s="66">
        <f>_xlfn.XLOOKUP(CoreValuesResults[[#This Row],[Team Number]],InnovationProjectResults[Team Number],InnovationProjectResults[Ideate 3 (CV)])</f>
        <v>0</v>
      </c>
      <c r="E61" s="66">
        <f>_xlfn.XLOOKUP(CoreValuesResults[[#This Row],[Team Number]],InnovationProjectResults[Team Number],InnovationProjectResults[Implement 1 (CV)])</f>
        <v>0</v>
      </c>
      <c r="F61" s="66">
        <f>_xlfn.XLOOKUP(CoreValuesResults[[#This Row],[Team Number]],InnovationProjectResults[Team Number],InnovationProjectResults[Communicate 2 (CV)])</f>
        <v>0</v>
      </c>
      <c r="G61" s="66">
        <f>_xlfn.XLOOKUP(CoreValuesResults[[#This Row],[Team Number]],RobotDesignResults[Team Number],RobotDesignResults[Identify 2 (CV)])</f>
        <v>0</v>
      </c>
      <c r="H61" s="66">
        <f>_xlfn.XLOOKUP(CoreValuesResults[[#This Row],[Team Number]],RobotDesignResults[Team Number],RobotDesignResults[Iterate 3 (CV)])</f>
        <v>0</v>
      </c>
      <c r="I61" s="66">
        <f>_xlfn.XLOOKUP(CoreValuesResults[[#This Row],[Team Number]],RobotDesignResults[Team Number],RobotDesignResults[Communicate 1 (CV)])</f>
        <v>0</v>
      </c>
      <c r="J61" s="66">
        <f>_xlfn.XLOOKUP(CoreValuesResults[[#This Row],[Team Number]],RobotDesignResults[Team Number],RobotDesignResults[Communicate 2 (CV)])</f>
        <v>0</v>
      </c>
      <c r="K61" s="12"/>
      <c r="L61" s="12"/>
      <c r="M61" s="12"/>
      <c r="N61" s="12"/>
      <c r="O61" s="12"/>
      <c r="P61" s="12"/>
      <c r="Q61" s="8" t="str">
        <f>IF(CoreValuesResults[[#This Row],[Gracious Professionalism 1]]="","",COUNTIF(CoreValuesResults[[#This Row],[Gracious Professionalism 1]:[Gracious Professionalism 5]],""))</f>
        <v/>
      </c>
      <c r="R61" s="8" t="str">
        <f>IF(CoreValuesResults[[#This Row],[Gracious Professionalism 1]]="","",SUM(CoreValuesResults[[#This Row],[Gracious Professionalism 1]:[Gracious Professionalism 5]]))</f>
        <v/>
      </c>
      <c r="S61"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61" s="34">
        <f>SUM(CoreValuesResults[[#This Row],[Project CV 1 - EXPLORE]:[Engineering CV 4 - COMMUNINCATE]],CoreValuesResults[[#This Row],[Gracious Professionalism Score]])</f>
        <v>0</v>
      </c>
      <c r="U61" s="21">
        <f>IF(CoreValuesResults[[#This Row],[Team Number]]&gt;0,MIN(_xlfn.RANK.EQ(CoreValuesResults[[#This Row],[Core Values Score]],CoreValuesResults[Core Values Score],0),NumberOfTeams),NumberOfTeams+1)</f>
        <v>9</v>
      </c>
      <c r="V61" s="35"/>
      <c r="W61" s="35"/>
    </row>
    <row r="62" spans="1:23" ht="30" customHeight="1" x14ac:dyDescent="0.25">
      <c r="A62" s="8">
        <f>_xlfn.XLOOKUP(61,OfficialTeamList[Row],OfficialTeamList[Team Number],"ERROR",0)</f>
        <v>0</v>
      </c>
      <c r="B62" s="20" t="str">
        <f>_xlfn.XLOOKUP(CoreValuesResults[[#This Row],[Team Number]],OfficialTeamList[Team Number],OfficialTeamList[Team Name],"",0,)</f>
        <v/>
      </c>
      <c r="C62" s="66">
        <f>_xlfn.XLOOKUP(CoreValuesResults[[#This Row],[Team Number]],InnovationProjectResults[Team Number],InnovationProjectResults[Explore 2 (CV)])</f>
        <v>0</v>
      </c>
      <c r="D62" s="66">
        <f>_xlfn.XLOOKUP(CoreValuesResults[[#This Row],[Team Number]],InnovationProjectResults[Team Number],InnovationProjectResults[Ideate 3 (CV)])</f>
        <v>0</v>
      </c>
      <c r="E62" s="66">
        <f>_xlfn.XLOOKUP(CoreValuesResults[[#This Row],[Team Number]],InnovationProjectResults[Team Number],InnovationProjectResults[Implement 1 (CV)])</f>
        <v>0</v>
      </c>
      <c r="F62" s="66">
        <f>_xlfn.XLOOKUP(CoreValuesResults[[#This Row],[Team Number]],InnovationProjectResults[Team Number],InnovationProjectResults[Communicate 2 (CV)])</f>
        <v>0</v>
      </c>
      <c r="G62" s="66">
        <f>_xlfn.XLOOKUP(CoreValuesResults[[#This Row],[Team Number]],RobotDesignResults[Team Number],RobotDesignResults[Identify 2 (CV)])</f>
        <v>0</v>
      </c>
      <c r="H62" s="66">
        <f>_xlfn.XLOOKUP(CoreValuesResults[[#This Row],[Team Number]],RobotDesignResults[Team Number],RobotDesignResults[Iterate 3 (CV)])</f>
        <v>0</v>
      </c>
      <c r="I62" s="66">
        <f>_xlfn.XLOOKUP(CoreValuesResults[[#This Row],[Team Number]],RobotDesignResults[Team Number],RobotDesignResults[Communicate 1 (CV)])</f>
        <v>0</v>
      </c>
      <c r="J62" s="66">
        <f>_xlfn.XLOOKUP(CoreValuesResults[[#This Row],[Team Number]],RobotDesignResults[Team Number],RobotDesignResults[Communicate 2 (CV)])</f>
        <v>0</v>
      </c>
      <c r="K62" s="12"/>
      <c r="L62" s="12"/>
      <c r="M62" s="12"/>
      <c r="N62" s="12"/>
      <c r="O62" s="12"/>
      <c r="P62" s="12"/>
      <c r="Q62" s="8" t="str">
        <f>IF(CoreValuesResults[[#This Row],[Gracious Professionalism 1]]="","",COUNTIF(CoreValuesResults[[#This Row],[Gracious Professionalism 1]:[Gracious Professionalism 5]],""))</f>
        <v/>
      </c>
      <c r="R62" s="8" t="str">
        <f>IF(CoreValuesResults[[#This Row],[Gracious Professionalism 1]]="","",SUM(CoreValuesResults[[#This Row],[Gracious Professionalism 1]:[Gracious Professionalism 5]]))</f>
        <v/>
      </c>
      <c r="S62"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62" s="34">
        <f>SUM(CoreValuesResults[[#This Row],[Project CV 1 - EXPLORE]:[Engineering CV 4 - COMMUNINCATE]],CoreValuesResults[[#This Row],[Gracious Professionalism Score]])</f>
        <v>0</v>
      </c>
      <c r="U62" s="21">
        <f>IF(CoreValuesResults[[#This Row],[Team Number]]&gt;0,MIN(_xlfn.RANK.EQ(CoreValuesResults[[#This Row],[Core Values Score]],CoreValuesResults[Core Values Score],0),NumberOfTeams),NumberOfTeams+1)</f>
        <v>9</v>
      </c>
      <c r="V62" s="35"/>
      <c r="W62" s="35"/>
    </row>
    <row r="63" spans="1:23" ht="30" customHeight="1" x14ac:dyDescent="0.25">
      <c r="A63" s="8">
        <f>_xlfn.XLOOKUP(62,OfficialTeamList[Row],OfficialTeamList[Team Number],"ERROR",0)</f>
        <v>0</v>
      </c>
      <c r="B63" s="20" t="str">
        <f>_xlfn.XLOOKUP(CoreValuesResults[[#This Row],[Team Number]],OfficialTeamList[Team Number],OfficialTeamList[Team Name],"",0,)</f>
        <v/>
      </c>
      <c r="C63" s="66">
        <f>_xlfn.XLOOKUP(CoreValuesResults[[#This Row],[Team Number]],InnovationProjectResults[Team Number],InnovationProjectResults[Explore 2 (CV)])</f>
        <v>0</v>
      </c>
      <c r="D63" s="66">
        <f>_xlfn.XLOOKUP(CoreValuesResults[[#This Row],[Team Number]],InnovationProjectResults[Team Number],InnovationProjectResults[Ideate 3 (CV)])</f>
        <v>0</v>
      </c>
      <c r="E63" s="66">
        <f>_xlfn.XLOOKUP(CoreValuesResults[[#This Row],[Team Number]],InnovationProjectResults[Team Number],InnovationProjectResults[Implement 1 (CV)])</f>
        <v>0</v>
      </c>
      <c r="F63" s="66">
        <f>_xlfn.XLOOKUP(CoreValuesResults[[#This Row],[Team Number]],InnovationProjectResults[Team Number],InnovationProjectResults[Communicate 2 (CV)])</f>
        <v>0</v>
      </c>
      <c r="G63" s="66">
        <f>_xlfn.XLOOKUP(CoreValuesResults[[#This Row],[Team Number]],RobotDesignResults[Team Number],RobotDesignResults[Identify 2 (CV)])</f>
        <v>0</v>
      </c>
      <c r="H63" s="66">
        <f>_xlfn.XLOOKUP(CoreValuesResults[[#This Row],[Team Number]],RobotDesignResults[Team Number],RobotDesignResults[Iterate 3 (CV)])</f>
        <v>0</v>
      </c>
      <c r="I63" s="66">
        <f>_xlfn.XLOOKUP(CoreValuesResults[[#This Row],[Team Number]],RobotDesignResults[Team Number],RobotDesignResults[Communicate 1 (CV)])</f>
        <v>0</v>
      </c>
      <c r="J63" s="66">
        <f>_xlfn.XLOOKUP(CoreValuesResults[[#This Row],[Team Number]],RobotDesignResults[Team Number],RobotDesignResults[Communicate 2 (CV)])</f>
        <v>0</v>
      </c>
      <c r="K63" s="12"/>
      <c r="L63" s="12"/>
      <c r="M63" s="12"/>
      <c r="N63" s="12"/>
      <c r="O63" s="12"/>
      <c r="P63" s="12"/>
      <c r="Q63" s="8" t="str">
        <f>IF(CoreValuesResults[[#This Row],[Gracious Professionalism 1]]="","",COUNTIF(CoreValuesResults[[#This Row],[Gracious Professionalism 1]:[Gracious Professionalism 5]],""))</f>
        <v/>
      </c>
      <c r="R63" s="8" t="str">
        <f>IF(CoreValuesResults[[#This Row],[Gracious Professionalism 1]]="","",SUM(CoreValuesResults[[#This Row],[Gracious Professionalism 1]:[Gracious Professionalism 5]]))</f>
        <v/>
      </c>
      <c r="S63"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63" s="34">
        <f>SUM(CoreValuesResults[[#This Row],[Project CV 1 - EXPLORE]:[Engineering CV 4 - COMMUNINCATE]],CoreValuesResults[[#This Row],[Gracious Professionalism Score]])</f>
        <v>0</v>
      </c>
      <c r="U63" s="21">
        <f>IF(CoreValuesResults[[#This Row],[Team Number]]&gt;0,MIN(_xlfn.RANK.EQ(CoreValuesResults[[#This Row],[Core Values Score]],CoreValuesResults[Core Values Score],0),NumberOfTeams),NumberOfTeams+1)</f>
        <v>9</v>
      </c>
      <c r="V63" s="35"/>
      <c r="W63" s="35"/>
    </row>
    <row r="64" spans="1:23" ht="30" customHeight="1" x14ac:dyDescent="0.25">
      <c r="A64" s="8">
        <f>_xlfn.XLOOKUP(63,OfficialTeamList[Row],OfficialTeamList[Team Number],"ERROR",0)</f>
        <v>0</v>
      </c>
      <c r="B64" s="20" t="str">
        <f>_xlfn.XLOOKUP(CoreValuesResults[[#This Row],[Team Number]],OfficialTeamList[Team Number],OfficialTeamList[Team Name],"",0,)</f>
        <v/>
      </c>
      <c r="C64" s="66">
        <f>_xlfn.XLOOKUP(CoreValuesResults[[#This Row],[Team Number]],InnovationProjectResults[Team Number],InnovationProjectResults[Explore 2 (CV)])</f>
        <v>0</v>
      </c>
      <c r="D64" s="66">
        <f>_xlfn.XLOOKUP(CoreValuesResults[[#This Row],[Team Number]],InnovationProjectResults[Team Number],InnovationProjectResults[Ideate 3 (CV)])</f>
        <v>0</v>
      </c>
      <c r="E64" s="66">
        <f>_xlfn.XLOOKUP(CoreValuesResults[[#This Row],[Team Number]],InnovationProjectResults[Team Number],InnovationProjectResults[Implement 1 (CV)])</f>
        <v>0</v>
      </c>
      <c r="F64" s="66">
        <f>_xlfn.XLOOKUP(CoreValuesResults[[#This Row],[Team Number]],InnovationProjectResults[Team Number],InnovationProjectResults[Communicate 2 (CV)])</f>
        <v>0</v>
      </c>
      <c r="G64" s="66">
        <f>_xlfn.XLOOKUP(CoreValuesResults[[#This Row],[Team Number]],RobotDesignResults[Team Number],RobotDesignResults[Identify 2 (CV)])</f>
        <v>0</v>
      </c>
      <c r="H64" s="66">
        <f>_xlfn.XLOOKUP(CoreValuesResults[[#This Row],[Team Number]],RobotDesignResults[Team Number],RobotDesignResults[Iterate 3 (CV)])</f>
        <v>0</v>
      </c>
      <c r="I64" s="66">
        <f>_xlfn.XLOOKUP(CoreValuesResults[[#This Row],[Team Number]],RobotDesignResults[Team Number],RobotDesignResults[Communicate 1 (CV)])</f>
        <v>0</v>
      </c>
      <c r="J64" s="66">
        <f>_xlfn.XLOOKUP(CoreValuesResults[[#This Row],[Team Number]],RobotDesignResults[Team Number],RobotDesignResults[Communicate 2 (CV)])</f>
        <v>0</v>
      </c>
      <c r="K64" s="12"/>
      <c r="L64" s="12"/>
      <c r="M64" s="12"/>
      <c r="N64" s="12"/>
      <c r="O64" s="12"/>
      <c r="P64" s="12"/>
      <c r="Q64" s="8" t="str">
        <f>IF(CoreValuesResults[[#This Row],[Gracious Professionalism 1]]="","",COUNTIF(CoreValuesResults[[#This Row],[Gracious Professionalism 1]:[Gracious Professionalism 5]],""))</f>
        <v/>
      </c>
      <c r="R64" s="8" t="str">
        <f>IF(CoreValuesResults[[#This Row],[Gracious Professionalism 1]]="","",SUM(CoreValuesResults[[#This Row],[Gracious Professionalism 1]:[Gracious Professionalism 5]]))</f>
        <v/>
      </c>
      <c r="S64"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64" s="34">
        <f>SUM(CoreValuesResults[[#This Row],[Project CV 1 - EXPLORE]:[Engineering CV 4 - COMMUNINCATE]],CoreValuesResults[[#This Row],[Gracious Professionalism Score]])</f>
        <v>0</v>
      </c>
      <c r="U64" s="21">
        <f>IF(CoreValuesResults[[#This Row],[Team Number]]&gt;0,MIN(_xlfn.RANK.EQ(CoreValuesResults[[#This Row],[Core Values Score]],CoreValuesResults[Core Values Score],0),NumberOfTeams),NumberOfTeams+1)</f>
        <v>9</v>
      </c>
      <c r="V64" s="35"/>
      <c r="W64" s="35"/>
    </row>
    <row r="65" spans="1:23" ht="30" customHeight="1" x14ac:dyDescent="0.25">
      <c r="A65" s="8">
        <f>_xlfn.XLOOKUP(64,OfficialTeamList[Row],OfficialTeamList[Team Number],"ERROR",0)</f>
        <v>0</v>
      </c>
      <c r="B65" s="20" t="str">
        <f>_xlfn.XLOOKUP(CoreValuesResults[[#This Row],[Team Number]],OfficialTeamList[Team Number],OfficialTeamList[Team Name],"",0,)</f>
        <v/>
      </c>
      <c r="C65" s="66">
        <f>_xlfn.XLOOKUP(CoreValuesResults[[#This Row],[Team Number]],InnovationProjectResults[Team Number],InnovationProjectResults[Explore 2 (CV)])</f>
        <v>0</v>
      </c>
      <c r="D65" s="66">
        <f>_xlfn.XLOOKUP(CoreValuesResults[[#This Row],[Team Number]],InnovationProjectResults[Team Number],InnovationProjectResults[Ideate 3 (CV)])</f>
        <v>0</v>
      </c>
      <c r="E65" s="66">
        <f>_xlfn.XLOOKUP(CoreValuesResults[[#This Row],[Team Number]],InnovationProjectResults[Team Number],InnovationProjectResults[Implement 1 (CV)])</f>
        <v>0</v>
      </c>
      <c r="F65" s="66">
        <f>_xlfn.XLOOKUP(CoreValuesResults[[#This Row],[Team Number]],InnovationProjectResults[Team Number],InnovationProjectResults[Communicate 2 (CV)])</f>
        <v>0</v>
      </c>
      <c r="G65" s="66">
        <f>_xlfn.XLOOKUP(CoreValuesResults[[#This Row],[Team Number]],RobotDesignResults[Team Number],RobotDesignResults[Identify 2 (CV)])</f>
        <v>0</v>
      </c>
      <c r="H65" s="66">
        <f>_xlfn.XLOOKUP(CoreValuesResults[[#This Row],[Team Number]],RobotDesignResults[Team Number],RobotDesignResults[Iterate 3 (CV)])</f>
        <v>0</v>
      </c>
      <c r="I65" s="66">
        <f>_xlfn.XLOOKUP(CoreValuesResults[[#This Row],[Team Number]],RobotDesignResults[Team Number],RobotDesignResults[Communicate 1 (CV)])</f>
        <v>0</v>
      </c>
      <c r="J65" s="66">
        <f>_xlfn.XLOOKUP(CoreValuesResults[[#This Row],[Team Number]],RobotDesignResults[Team Number],RobotDesignResults[Communicate 2 (CV)])</f>
        <v>0</v>
      </c>
      <c r="K65" s="12"/>
      <c r="L65" s="12"/>
      <c r="M65" s="12"/>
      <c r="N65" s="12"/>
      <c r="O65" s="12"/>
      <c r="P65" s="12"/>
      <c r="Q65" s="8" t="str">
        <f>IF(CoreValuesResults[[#This Row],[Gracious Professionalism 1]]="","",COUNTIF(CoreValuesResults[[#This Row],[Gracious Professionalism 1]:[Gracious Professionalism 5]],""))</f>
        <v/>
      </c>
      <c r="R65" s="8" t="str">
        <f>IF(CoreValuesResults[[#This Row],[Gracious Professionalism 1]]="","",SUM(CoreValuesResults[[#This Row],[Gracious Professionalism 1]:[Gracious Professionalism 5]]))</f>
        <v/>
      </c>
      <c r="S65"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65" s="34">
        <f>SUM(CoreValuesResults[[#This Row],[Project CV 1 - EXPLORE]:[Engineering CV 4 - COMMUNINCATE]],CoreValuesResults[[#This Row],[Gracious Professionalism Score]])</f>
        <v>0</v>
      </c>
      <c r="U65" s="21">
        <f>IF(CoreValuesResults[[#This Row],[Team Number]]&gt;0,MIN(_xlfn.RANK.EQ(CoreValuesResults[[#This Row],[Core Values Score]],CoreValuesResults[Core Values Score],0),NumberOfTeams),NumberOfTeams+1)</f>
        <v>9</v>
      </c>
      <c r="V65" s="35"/>
      <c r="W65" s="35"/>
    </row>
    <row r="66" spans="1:23" ht="30" customHeight="1" x14ac:dyDescent="0.25">
      <c r="A66" s="8">
        <f>_xlfn.XLOOKUP(65,OfficialTeamList[Row],OfficialTeamList[Team Number],"ERROR",0)</f>
        <v>0</v>
      </c>
      <c r="B66" s="20" t="str">
        <f>_xlfn.XLOOKUP(CoreValuesResults[[#This Row],[Team Number]],OfficialTeamList[Team Number],OfficialTeamList[Team Name],"",0,)</f>
        <v/>
      </c>
      <c r="C66" s="66">
        <f>_xlfn.XLOOKUP(CoreValuesResults[[#This Row],[Team Number]],InnovationProjectResults[Team Number],InnovationProjectResults[Explore 2 (CV)])</f>
        <v>0</v>
      </c>
      <c r="D66" s="66">
        <f>_xlfn.XLOOKUP(CoreValuesResults[[#This Row],[Team Number]],InnovationProjectResults[Team Number],InnovationProjectResults[Ideate 3 (CV)])</f>
        <v>0</v>
      </c>
      <c r="E66" s="66">
        <f>_xlfn.XLOOKUP(CoreValuesResults[[#This Row],[Team Number]],InnovationProjectResults[Team Number],InnovationProjectResults[Implement 1 (CV)])</f>
        <v>0</v>
      </c>
      <c r="F66" s="66">
        <f>_xlfn.XLOOKUP(CoreValuesResults[[#This Row],[Team Number]],InnovationProjectResults[Team Number],InnovationProjectResults[Communicate 2 (CV)])</f>
        <v>0</v>
      </c>
      <c r="G66" s="66">
        <f>_xlfn.XLOOKUP(CoreValuesResults[[#This Row],[Team Number]],RobotDesignResults[Team Number],RobotDesignResults[Identify 2 (CV)])</f>
        <v>0</v>
      </c>
      <c r="H66" s="66">
        <f>_xlfn.XLOOKUP(CoreValuesResults[[#This Row],[Team Number]],RobotDesignResults[Team Number],RobotDesignResults[Iterate 3 (CV)])</f>
        <v>0</v>
      </c>
      <c r="I66" s="66">
        <f>_xlfn.XLOOKUP(CoreValuesResults[[#This Row],[Team Number]],RobotDesignResults[Team Number],RobotDesignResults[Communicate 1 (CV)])</f>
        <v>0</v>
      </c>
      <c r="J66" s="66">
        <f>_xlfn.XLOOKUP(CoreValuesResults[[#This Row],[Team Number]],RobotDesignResults[Team Number],RobotDesignResults[Communicate 2 (CV)])</f>
        <v>0</v>
      </c>
      <c r="K66" s="12"/>
      <c r="L66" s="12"/>
      <c r="M66" s="12"/>
      <c r="N66" s="12"/>
      <c r="O66" s="12"/>
      <c r="P66" s="12"/>
      <c r="Q66" s="8" t="str">
        <f>IF(CoreValuesResults[[#This Row],[Gracious Professionalism 1]]="","",COUNTIF(CoreValuesResults[[#This Row],[Gracious Professionalism 1]:[Gracious Professionalism 5]],""))</f>
        <v/>
      </c>
      <c r="R66" s="8" t="str">
        <f>IF(CoreValuesResults[[#This Row],[Gracious Professionalism 1]]="","",SUM(CoreValuesResults[[#This Row],[Gracious Professionalism 1]:[Gracious Professionalism 5]]))</f>
        <v/>
      </c>
      <c r="S66"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66" s="34">
        <f>SUM(CoreValuesResults[[#This Row],[Project CV 1 - EXPLORE]:[Engineering CV 4 - COMMUNINCATE]],CoreValuesResults[[#This Row],[Gracious Professionalism Score]])</f>
        <v>0</v>
      </c>
      <c r="U66" s="21">
        <f>IF(CoreValuesResults[[#This Row],[Team Number]]&gt;0,MIN(_xlfn.RANK.EQ(CoreValuesResults[[#This Row],[Core Values Score]],CoreValuesResults[Core Values Score],0),NumberOfTeams),NumberOfTeams+1)</f>
        <v>9</v>
      </c>
      <c r="V66" s="35"/>
      <c r="W66" s="35"/>
    </row>
    <row r="67" spans="1:23" ht="30" customHeight="1" x14ac:dyDescent="0.25">
      <c r="A67" s="8">
        <f>_xlfn.XLOOKUP(66,OfficialTeamList[Row],OfficialTeamList[Team Number],"ERROR",0)</f>
        <v>0</v>
      </c>
      <c r="B67" s="20" t="str">
        <f>_xlfn.XLOOKUP(CoreValuesResults[[#This Row],[Team Number]],OfficialTeamList[Team Number],OfficialTeamList[Team Name],"",0,)</f>
        <v/>
      </c>
      <c r="C67" s="66">
        <f>_xlfn.XLOOKUP(CoreValuesResults[[#This Row],[Team Number]],InnovationProjectResults[Team Number],InnovationProjectResults[Explore 2 (CV)])</f>
        <v>0</v>
      </c>
      <c r="D67" s="66">
        <f>_xlfn.XLOOKUP(CoreValuesResults[[#This Row],[Team Number]],InnovationProjectResults[Team Number],InnovationProjectResults[Ideate 3 (CV)])</f>
        <v>0</v>
      </c>
      <c r="E67" s="66">
        <f>_xlfn.XLOOKUP(CoreValuesResults[[#This Row],[Team Number]],InnovationProjectResults[Team Number],InnovationProjectResults[Implement 1 (CV)])</f>
        <v>0</v>
      </c>
      <c r="F67" s="66">
        <f>_xlfn.XLOOKUP(CoreValuesResults[[#This Row],[Team Number]],InnovationProjectResults[Team Number],InnovationProjectResults[Communicate 2 (CV)])</f>
        <v>0</v>
      </c>
      <c r="G67" s="66">
        <f>_xlfn.XLOOKUP(CoreValuesResults[[#This Row],[Team Number]],RobotDesignResults[Team Number],RobotDesignResults[Identify 2 (CV)])</f>
        <v>0</v>
      </c>
      <c r="H67" s="66">
        <f>_xlfn.XLOOKUP(CoreValuesResults[[#This Row],[Team Number]],RobotDesignResults[Team Number],RobotDesignResults[Iterate 3 (CV)])</f>
        <v>0</v>
      </c>
      <c r="I67" s="66">
        <f>_xlfn.XLOOKUP(CoreValuesResults[[#This Row],[Team Number]],RobotDesignResults[Team Number],RobotDesignResults[Communicate 1 (CV)])</f>
        <v>0</v>
      </c>
      <c r="J67" s="66">
        <f>_xlfn.XLOOKUP(CoreValuesResults[[#This Row],[Team Number]],RobotDesignResults[Team Number],RobotDesignResults[Communicate 2 (CV)])</f>
        <v>0</v>
      </c>
      <c r="K67" s="12"/>
      <c r="L67" s="12"/>
      <c r="M67" s="12"/>
      <c r="N67" s="12"/>
      <c r="O67" s="12"/>
      <c r="P67" s="12"/>
      <c r="Q67" s="8" t="str">
        <f>IF(CoreValuesResults[[#This Row],[Gracious Professionalism 1]]="","",COUNTIF(CoreValuesResults[[#This Row],[Gracious Professionalism 1]:[Gracious Professionalism 5]],""))</f>
        <v/>
      </c>
      <c r="R67" s="8" t="str">
        <f>IF(CoreValuesResults[[#This Row],[Gracious Professionalism 1]]="","",SUM(CoreValuesResults[[#This Row],[Gracious Professionalism 1]:[Gracious Professionalism 5]]))</f>
        <v/>
      </c>
      <c r="S67"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67" s="34">
        <f>SUM(CoreValuesResults[[#This Row],[Project CV 1 - EXPLORE]:[Engineering CV 4 - COMMUNINCATE]],CoreValuesResults[[#This Row],[Gracious Professionalism Score]])</f>
        <v>0</v>
      </c>
      <c r="U67" s="21">
        <f>IF(CoreValuesResults[[#This Row],[Team Number]]&gt;0,MIN(_xlfn.RANK.EQ(CoreValuesResults[[#This Row],[Core Values Score]],CoreValuesResults[Core Values Score],0),NumberOfTeams),NumberOfTeams+1)</f>
        <v>9</v>
      </c>
      <c r="V67" s="35"/>
      <c r="W67" s="35"/>
    </row>
    <row r="68" spans="1:23" ht="30" customHeight="1" x14ac:dyDescent="0.25">
      <c r="A68" s="8">
        <f>_xlfn.XLOOKUP(67,OfficialTeamList[Row],OfficialTeamList[Team Number],"ERROR",0)</f>
        <v>0</v>
      </c>
      <c r="B68" s="20" t="str">
        <f>_xlfn.XLOOKUP(CoreValuesResults[[#This Row],[Team Number]],OfficialTeamList[Team Number],OfficialTeamList[Team Name],"",0,)</f>
        <v/>
      </c>
      <c r="C68" s="66">
        <f>_xlfn.XLOOKUP(CoreValuesResults[[#This Row],[Team Number]],InnovationProjectResults[Team Number],InnovationProjectResults[Explore 2 (CV)])</f>
        <v>0</v>
      </c>
      <c r="D68" s="66">
        <f>_xlfn.XLOOKUP(CoreValuesResults[[#This Row],[Team Number]],InnovationProjectResults[Team Number],InnovationProjectResults[Ideate 3 (CV)])</f>
        <v>0</v>
      </c>
      <c r="E68" s="66">
        <f>_xlfn.XLOOKUP(CoreValuesResults[[#This Row],[Team Number]],InnovationProjectResults[Team Number],InnovationProjectResults[Implement 1 (CV)])</f>
        <v>0</v>
      </c>
      <c r="F68" s="66">
        <f>_xlfn.XLOOKUP(CoreValuesResults[[#This Row],[Team Number]],InnovationProjectResults[Team Number],InnovationProjectResults[Communicate 2 (CV)])</f>
        <v>0</v>
      </c>
      <c r="G68" s="66">
        <f>_xlfn.XLOOKUP(CoreValuesResults[[#This Row],[Team Number]],RobotDesignResults[Team Number],RobotDesignResults[Identify 2 (CV)])</f>
        <v>0</v>
      </c>
      <c r="H68" s="66">
        <f>_xlfn.XLOOKUP(CoreValuesResults[[#This Row],[Team Number]],RobotDesignResults[Team Number],RobotDesignResults[Iterate 3 (CV)])</f>
        <v>0</v>
      </c>
      <c r="I68" s="66">
        <f>_xlfn.XLOOKUP(CoreValuesResults[[#This Row],[Team Number]],RobotDesignResults[Team Number],RobotDesignResults[Communicate 1 (CV)])</f>
        <v>0</v>
      </c>
      <c r="J68" s="66">
        <f>_xlfn.XLOOKUP(CoreValuesResults[[#This Row],[Team Number]],RobotDesignResults[Team Number],RobotDesignResults[Communicate 2 (CV)])</f>
        <v>0</v>
      </c>
      <c r="K68" s="12"/>
      <c r="L68" s="12"/>
      <c r="M68" s="12"/>
      <c r="N68" s="12"/>
      <c r="O68" s="12"/>
      <c r="P68" s="12"/>
      <c r="Q68" s="8" t="str">
        <f>IF(CoreValuesResults[[#This Row],[Gracious Professionalism 1]]="","",COUNTIF(CoreValuesResults[[#This Row],[Gracious Professionalism 1]:[Gracious Professionalism 5]],""))</f>
        <v/>
      </c>
      <c r="R68" s="8" t="str">
        <f>IF(CoreValuesResults[[#This Row],[Gracious Professionalism 1]]="","",SUM(CoreValuesResults[[#This Row],[Gracious Professionalism 1]:[Gracious Professionalism 5]]))</f>
        <v/>
      </c>
      <c r="S68"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68" s="34">
        <f>SUM(CoreValuesResults[[#This Row],[Project CV 1 - EXPLORE]:[Engineering CV 4 - COMMUNINCATE]],CoreValuesResults[[#This Row],[Gracious Professionalism Score]])</f>
        <v>0</v>
      </c>
      <c r="U68" s="21">
        <f>IF(CoreValuesResults[[#This Row],[Team Number]]&gt;0,MIN(_xlfn.RANK.EQ(CoreValuesResults[[#This Row],[Core Values Score]],CoreValuesResults[Core Values Score],0),NumberOfTeams),NumberOfTeams+1)</f>
        <v>9</v>
      </c>
      <c r="V68" s="35"/>
      <c r="W68" s="35"/>
    </row>
    <row r="69" spans="1:23" ht="30" customHeight="1" x14ac:dyDescent="0.25">
      <c r="A69" s="8">
        <f>_xlfn.XLOOKUP(68,OfficialTeamList[Row],OfficialTeamList[Team Number],"ERROR",0)</f>
        <v>0</v>
      </c>
      <c r="B69" s="20" t="str">
        <f>_xlfn.XLOOKUP(CoreValuesResults[[#This Row],[Team Number]],OfficialTeamList[Team Number],OfficialTeamList[Team Name],"",0,)</f>
        <v/>
      </c>
      <c r="C69" s="66">
        <f>_xlfn.XLOOKUP(CoreValuesResults[[#This Row],[Team Number]],InnovationProjectResults[Team Number],InnovationProjectResults[Explore 2 (CV)])</f>
        <v>0</v>
      </c>
      <c r="D69" s="66">
        <f>_xlfn.XLOOKUP(CoreValuesResults[[#This Row],[Team Number]],InnovationProjectResults[Team Number],InnovationProjectResults[Ideate 3 (CV)])</f>
        <v>0</v>
      </c>
      <c r="E69" s="66">
        <f>_xlfn.XLOOKUP(CoreValuesResults[[#This Row],[Team Number]],InnovationProjectResults[Team Number],InnovationProjectResults[Implement 1 (CV)])</f>
        <v>0</v>
      </c>
      <c r="F69" s="66">
        <f>_xlfn.XLOOKUP(CoreValuesResults[[#This Row],[Team Number]],InnovationProjectResults[Team Number],InnovationProjectResults[Communicate 2 (CV)])</f>
        <v>0</v>
      </c>
      <c r="G69" s="66">
        <f>_xlfn.XLOOKUP(CoreValuesResults[[#This Row],[Team Number]],RobotDesignResults[Team Number],RobotDesignResults[Identify 2 (CV)])</f>
        <v>0</v>
      </c>
      <c r="H69" s="66">
        <f>_xlfn.XLOOKUP(CoreValuesResults[[#This Row],[Team Number]],RobotDesignResults[Team Number],RobotDesignResults[Iterate 3 (CV)])</f>
        <v>0</v>
      </c>
      <c r="I69" s="66">
        <f>_xlfn.XLOOKUP(CoreValuesResults[[#This Row],[Team Number]],RobotDesignResults[Team Number],RobotDesignResults[Communicate 1 (CV)])</f>
        <v>0</v>
      </c>
      <c r="J69" s="66">
        <f>_xlfn.XLOOKUP(CoreValuesResults[[#This Row],[Team Number]],RobotDesignResults[Team Number],RobotDesignResults[Communicate 2 (CV)])</f>
        <v>0</v>
      </c>
      <c r="K69" s="12"/>
      <c r="L69" s="12"/>
      <c r="M69" s="12"/>
      <c r="N69" s="12"/>
      <c r="O69" s="12"/>
      <c r="P69" s="12"/>
      <c r="Q69" s="8" t="str">
        <f>IF(CoreValuesResults[[#This Row],[Gracious Professionalism 1]]="","",COUNTIF(CoreValuesResults[[#This Row],[Gracious Professionalism 1]:[Gracious Professionalism 5]],""))</f>
        <v/>
      </c>
      <c r="R69" s="8" t="str">
        <f>IF(CoreValuesResults[[#This Row],[Gracious Professionalism 1]]="","",SUM(CoreValuesResults[[#This Row],[Gracious Professionalism 1]:[Gracious Professionalism 5]]))</f>
        <v/>
      </c>
      <c r="S69"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69" s="34">
        <f>SUM(CoreValuesResults[[#This Row],[Project CV 1 - EXPLORE]:[Engineering CV 4 - COMMUNINCATE]],CoreValuesResults[[#This Row],[Gracious Professionalism Score]])</f>
        <v>0</v>
      </c>
      <c r="U69" s="21">
        <f>IF(CoreValuesResults[[#This Row],[Team Number]]&gt;0,MIN(_xlfn.RANK.EQ(CoreValuesResults[[#This Row],[Core Values Score]],CoreValuesResults[Core Values Score],0),NumberOfTeams),NumberOfTeams+1)</f>
        <v>9</v>
      </c>
      <c r="V69" s="35"/>
      <c r="W69" s="35"/>
    </row>
    <row r="70" spans="1:23" ht="30" customHeight="1" x14ac:dyDescent="0.25">
      <c r="A70" s="8">
        <f>_xlfn.XLOOKUP(69,OfficialTeamList[Row],OfficialTeamList[Team Number],"ERROR",0)</f>
        <v>0</v>
      </c>
      <c r="B70" s="20" t="str">
        <f>_xlfn.XLOOKUP(CoreValuesResults[[#This Row],[Team Number]],OfficialTeamList[Team Number],OfficialTeamList[Team Name],"",0,)</f>
        <v/>
      </c>
      <c r="C70" s="66">
        <f>_xlfn.XLOOKUP(CoreValuesResults[[#This Row],[Team Number]],InnovationProjectResults[Team Number],InnovationProjectResults[Explore 2 (CV)])</f>
        <v>0</v>
      </c>
      <c r="D70" s="66">
        <f>_xlfn.XLOOKUP(CoreValuesResults[[#This Row],[Team Number]],InnovationProjectResults[Team Number],InnovationProjectResults[Ideate 3 (CV)])</f>
        <v>0</v>
      </c>
      <c r="E70" s="66">
        <f>_xlfn.XLOOKUP(CoreValuesResults[[#This Row],[Team Number]],InnovationProjectResults[Team Number],InnovationProjectResults[Implement 1 (CV)])</f>
        <v>0</v>
      </c>
      <c r="F70" s="66">
        <f>_xlfn.XLOOKUP(CoreValuesResults[[#This Row],[Team Number]],InnovationProjectResults[Team Number],InnovationProjectResults[Communicate 2 (CV)])</f>
        <v>0</v>
      </c>
      <c r="G70" s="66">
        <f>_xlfn.XLOOKUP(CoreValuesResults[[#This Row],[Team Number]],RobotDesignResults[Team Number],RobotDesignResults[Identify 2 (CV)])</f>
        <v>0</v>
      </c>
      <c r="H70" s="66">
        <f>_xlfn.XLOOKUP(CoreValuesResults[[#This Row],[Team Number]],RobotDesignResults[Team Number],RobotDesignResults[Iterate 3 (CV)])</f>
        <v>0</v>
      </c>
      <c r="I70" s="66">
        <f>_xlfn.XLOOKUP(CoreValuesResults[[#This Row],[Team Number]],RobotDesignResults[Team Number],RobotDesignResults[Communicate 1 (CV)])</f>
        <v>0</v>
      </c>
      <c r="J70" s="66">
        <f>_xlfn.XLOOKUP(CoreValuesResults[[#This Row],[Team Number]],RobotDesignResults[Team Number],RobotDesignResults[Communicate 2 (CV)])</f>
        <v>0</v>
      </c>
      <c r="K70" s="12"/>
      <c r="L70" s="12"/>
      <c r="M70" s="12"/>
      <c r="N70" s="12"/>
      <c r="O70" s="12"/>
      <c r="P70" s="12"/>
      <c r="Q70" s="8" t="str">
        <f>IF(CoreValuesResults[[#This Row],[Gracious Professionalism 1]]="","",COUNTIF(CoreValuesResults[[#This Row],[Gracious Professionalism 1]:[Gracious Professionalism 5]],""))</f>
        <v/>
      </c>
      <c r="R70" s="8" t="str">
        <f>IF(CoreValuesResults[[#This Row],[Gracious Professionalism 1]]="","",SUM(CoreValuesResults[[#This Row],[Gracious Professionalism 1]:[Gracious Professionalism 5]]))</f>
        <v/>
      </c>
      <c r="S70"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70" s="34">
        <f>SUM(CoreValuesResults[[#This Row],[Project CV 1 - EXPLORE]:[Engineering CV 4 - COMMUNINCATE]],CoreValuesResults[[#This Row],[Gracious Professionalism Score]])</f>
        <v>0</v>
      </c>
      <c r="U70" s="21">
        <f>IF(CoreValuesResults[[#This Row],[Team Number]]&gt;0,MIN(_xlfn.RANK.EQ(CoreValuesResults[[#This Row],[Core Values Score]],CoreValuesResults[Core Values Score],0),NumberOfTeams),NumberOfTeams+1)</f>
        <v>9</v>
      </c>
      <c r="V70" s="35"/>
      <c r="W70" s="35"/>
    </row>
    <row r="71" spans="1:23" ht="30" customHeight="1" x14ac:dyDescent="0.25">
      <c r="A71" s="8">
        <f>_xlfn.XLOOKUP(70,OfficialTeamList[Row],OfficialTeamList[Team Number],"ERROR",0)</f>
        <v>0</v>
      </c>
      <c r="B71" s="20" t="str">
        <f>_xlfn.XLOOKUP(CoreValuesResults[[#This Row],[Team Number]],OfficialTeamList[Team Number],OfficialTeamList[Team Name],"",0,)</f>
        <v/>
      </c>
      <c r="C71" s="66">
        <f>_xlfn.XLOOKUP(CoreValuesResults[[#This Row],[Team Number]],InnovationProjectResults[Team Number],InnovationProjectResults[Explore 2 (CV)])</f>
        <v>0</v>
      </c>
      <c r="D71" s="66">
        <f>_xlfn.XLOOKUP(CoreValuesResults[[#This Row],[Team Number]],InnovationProjectResults[Team Number],InnovationProjectResults[Ideate 3 (CV)])</f>
        <v>0</v>
      </c>
      <c r="E71" s="66">
        <f>_xlfn.XLOOKUP(CoreValuesResults[[#This Row],[Team Number]],InnovationProjectResults[Team Number],InnovationProjectResults[Implement 1 (CV)])</f>
        <v>0</v>
      </c>
      <c r="F71" s="66">
        <f>_xlfn.XLOOKUP(CoreValuesResults[[#This Row],[Team Number]],InnovationProjectResults[Team Number],InnovationProjectResults[Communicate 2 (CV)])</f>
        <v>0</v>
      </c>
      <c r="G71" s="66">
        <f>_xlfn.XLOOKUP(CoreValuesResults[[#This Row],[Team Number]],RobotDesignResults[Team Number],RobotDesignResults[Identify 2 (CV)])</f>
        <v>0</v>
      </c>
      <c r="H71" s="66">
        <f>_xlfn.XLOOKUP(CoreValuesResults[[#This Row],[Team Number]],RobotDesignResults[Team Number],RobotDesignResults[Iterate 3 (CV)])</f>
        <v>0</v>
      </c>
      <c r="I71" s="66">
        <f>_xlfn.XLOOKUP(CoreValuesResults[[#This Row],[Team Number]],RobotDesignResults[Team Number],RobotDesignResults[Communicate 1 (CV)])</f>
        <v>0</v>
      </c>
      <c r="J71" s="66">
        <f>_xlfn.XLOOKUP(CoreValuesResults[[#This Row],[Team Number]],RobotDesignResults[Team Number],RobotDesignResults[Communicate 2 (CV)])</f>
        <v>0</v>
      </c>
      <c r="K71" s="12"/>
      <c r="L71" s="12"/>
      <c r="M71" s="12"/>
      <c r="N71" s="12"/>
      <c r="O71" s="12"/>
      <c r="P71" s="12"/>
      <c r="Q71" s="8" t="str">
        <f>IF(CoreValuesResults[[#This Row],[Gracious Professionalism 1]]="","",COUNTIF(CoreValuesResults[[#This Row],[Gracious Professionalism 1]:[Gracious Professionalism 5]],""))</f>
        <v/>
      </c>
      <c r="R71" s="8" t="str">
        <f>IF(CoreValuesResults[[#This Row],[Gracious Professionalism 1]]="","",SUM(CoreValuesResults[[#This Row],[Gracious Professionalism 1]:[Gracious Professionalism 5]]))</f>
        <v/>
      </c>
      <c r="S71"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71" s="34">
        <f>SUM(CoreValuesResults[[#This Row],[Project CV 1 - EXPLORE]:[Engineering CV 4 - COMMUNINCATE]],CoreValuesResults[[#This Row],[Gracious Professionalism Score]])</f>
        <v>0</v>
      </c>
      <c r="U71" s="21">
        <f>IF(CoreValuesResults[[#This Row],[Team Number]]&gt;0,MIN(_xlfn.RANK.EQ(CoreValuesResults[[#This Row],[Core Values Score]],CoreValuesResults[Core Values Score],0),NumberOfTeams),NumberOfTeams+1)</f>
        <v>9</v>
      </c>
      <c r="V71" s="35"/>
      <c r="W71" s="35"/>
    </row>
    <row r="72" spans="1:23" ht="30" customHeight="1" x14ac:dyDescent="0.25">
      <c r="A72" s="8">
        <f>_xlfn.XLOOKUP(71,OfficialTeamList[Row],OfficialTeamList[Team Number],"ERROR",0)</f>
        <v>0</v>
      </c>
      <c r="B72" s="20" t="str">
        <f>_xlfn.XLOOKUP(CoreValuesResults[[#This Row],[Team Number]],OfficialTeamList[Team Number],OfficialTeamList[Team Name],"",0,)</f>
        <v/>
      </c>
      <c r="C72" s="66">
        <f>_xlfn.XLOOKUP(CoreValuesResults[[#This Row],[Team Number]],InnovationProjectResults[Team Number],InnovationProjectResults[Explore 2 (CV)])</f>
        <v>0</v>
      </c>
      <c r="D72" s="66">
        <f>_xlfn.XLOOKUP(CoreValuesResults[[#This Row],[Team Number]],InnovationProjectResults[Team Number],InnovationProjectResults[Ideate 3 (CV)])</f>
        <v>0</v>
      </c>
      <c r="E72" s="66">
        <f>_xlfn.XLOOKUP(CoreValuesResults[[#This Row],[Team Number]],InnovationProjectResults[Team Number],InnovationProjectResults[Implement 1 (CV)])</f>
        <v>0</v>
      </c>
      <c r="F72" s="66">
        <f>_xlfn.XLOOKUP(CoreValuesResults[[#This Row],[Team Number]],InnovationProjectResults[Team Number],InnovationProjectResults[Communicate 2 (CV)])</f>
        <v>0</v>
      </c>
      <c r="G72" s="66">
        <f>_xlfn.XLOOKUP(CoreValuesResults[[#This Row],[Team Number]],RobotDesignResults[Team Number],RobotDesignResults[Identify 2 (CV)])</f>
        <v>0</v>
      </c>
      <c r="H72" s="66">
        <f>_xlfn.XLOOKUP(CoreValuesResults[[#This Row],[Team Number]],RobotDesignResults[Team Number],RobotDesignResults[Iterate 3 (CV)])</f>
        <v>0</v>
      </c>
      <c r="I72" s="66">
        <f>_xlfn.XLOOKUP(CoreValuesResults[[#This Row],[Team Number]],RobotDesignResults[Team Number],RobotDesignResults[Communicate 1 (CV)])</f>
        <v>0</v>
      </c>
      <c r="J72" s="66">
        <f>_xlfn.XLOOKUP(CoreValuesResults[[#This Row],[Team Number]],RobotDesignResults[Team Number],RobotDesignResults[Communicate 2 (CV)])</f>
        <v>0</v>
      </c>
      <c r="K72" s="12"/>
      <c r="L72" s="12"/>
      <c r="M72" s="12"/>
      <c r="N72" s="12"/>
      <c r="O72" s="12"/>
      <c r="P72" s="12"/>
      <c r="Q72" s="8" t="str">
        <f>IF(CoreValuesResults[[#This Row],[Gracious Professionalism 1]]="","",COUNTIF(CoreValuesResults[[#This Row],[Gracious Professionalism 1]:[Gracious Professionalism 5]],""))</f>
        <v/>
      </c>
      <c r="R72" s="8" t="str">
        <f>IF(CoreValuesResults[[#This Row],[Gracious Professionalism 1]]="","",SUM(CoreValuesResults[[#This Row],[Gracious Professionalism 1]:[Gracious Professionalism 5]]))</f>
        <v/>
      </c>
      <c r="S72"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72" s="34">
        <f>SUM(CoreValuesResults[[#This Row],[Project CV 1 - EXPLORE]:[Engineering CV 4 - COMMUNINCATE]],CoreValuesResults[[#This Row],[Gracious Professionalism Score]])</f>
        <v>0</v>
      </c>
      <c r="U72" s="21">
        <f>IF(CoreValuesResults[[#This Row],[Team Number]]&gt;0,MIN(_xlfn.RANK.EQ(CoreValuesResults[[#This Row],[Core Values Score]],CoreValuesResults[Core Values Score],0),NumberOfTeams),NumberOfTeams+1)</f>
        <v>9</v>
      </c>
      <c r="V72" s="35"/>
      <c r="W72" s="35"/>
    </row>
    <row r="73" spans="1:23" ht="30" customHeight="1" x14ac:dyDescent="0.25">
      <c r="A73" s="8">
        <f>_xlfn.XLOOKUP(72,OfficialTeamList[Row],OfficialTeamList[Team Number],"ERROR",0)</f>
        <v>0</v>
      </c>
      <c r="B73" s="20" t="str">
        <f>_xlfn.XLOOKUP(CoreValuesResults[[#This Row],[Team Number]],OfficialTeamList[Team Number],OfficialTeamList[Team Name],"",0,)</f>
        <v/>
      </c>
      <c r="C73" s="66">
        <f>_xlfn.XLOOKUP(CoreValuesResults[[#This Row],[Team Number]],InnovationProjectResults[Team Number],InnovationProjectResults[Explore 2 (CV)])</f>
        <v>0</v>
      </c>
      <c r="D73" s="66">
        <f>_xlfn.XLOOKUP(CoreValuesResults[[#This Row],[Team Number]],InnovationProjectResults[Team Number],InnovationProjectResults[Ideate 3 (CV)])</f>
        <v>0</v>
      </c>
      <c r="E73" s="66">
        <f>_xlfn.XLOOKUP(CoreValuesResults[[#This Row],[Team Number]],InnovationProjectResults[Team Number],InnovationProjectResults[Implement 1 (CV)])</f>
        <v>0</v>
      </c>
      <c r="F73" s="66">
        <f>_xlfn.XLOOKUP(CoreValuesResults[[#This Row],[Team Number]],InnovationProjectResults[Team Number],InnovationProjectResults[Communicate 2 (CV)])</f>
        <v>0</v>
      </c>
      <c r="G73" s="66">
        <f>_xlfn.XLOOKUP(CoreValuesResults[[#This Row],[Team Number]],RobotDesignResults[Team Number],RobotDesignResults[Identify 2 (CV)])</f>
        <v>0</v>
      </c>
      <c r="H73" s="66">
        <f>_xlfn.XLOOKUP(CoreValuesResults[[#This Row],[Team Number]],RobotDesignResults[Team Number],RobotDesignResults[Iterate 3 (CV)])</f>
        <v>0</v>
      </c>
      <c r="I73" s="66">
        <f>_xlfn.XLOOKUP(CoreValuesResults[[#This Row],[Team Number]],RobotDesignResults[Team Number],RobotDesignResults[Communicate 1 (CV)])</f>
        <v>0</v>
      </c>
      <c r="J73" s="66">
        <f>_xlfn.XLOOKUP(CoreValuesResults[[#This Row],[Team Number]],RobotDesignResults[Team Number],RobotDesignResults[Communicate 2 (CV)])</f>
        <v>0</v>
      </c>
      <c r="K73" s="12"/>
      <c r="L73" s="12"/>
      <c r="M73" s="12"/>
      <c r="N73" s="12"/>
      <c r="O73" s="12"/>
      <c r="P73" s="12"/>
      <c r="Q73" s="8"/>
      <c r="R73" s="8"/>
      <c r="S73" s="8"/>
      <c r="T73" s="34">
        <f>SUM(CoreValuesResults[[#This Row],[Project CV 1 - EXPLORE]:[Engineering CV 4 - COMMUNINCATE]],CoreValuesResults[[#This Row],[Gracious Professionalism Score]])</f>
        <v>0</v>
      </c>
      <c r="U73" s="21">
        <f>IF(CoreValuesResults[[#This Row],[Team Number]]&gt;0,MIN(_xlfn.RANK.EQ(CoreValuesResults[[#This Row],[Core Values Score]],CoreValuesResults[Core Values Score],0),NumberOfTeams),NumberOfTeams+1)</f>
        <v>9</v>
      </c>
      <c r="V73" s="35"/>
      <c r="W73" s="35"/>
    </row>
    <row r="74" spans="1:23" ht="30" customHeight="1" x14ac:dyDescent="0.25">
      <c r="A74" s="8">
        <f>_xlfn.XLOOKUP(73,OfficialTeamList[Row],OfficialTeamList[Team Number],"ERROR",0)</f>
        <v>0</v>
      </c>
      <c r="B74" s="20" t="str">
        <f>_xlfn.XLOOKUP(CoreValuesResults[[#This Row],[Team Number]],OfficialTeamList[Team Number],OfficialTeamList[Team Name],"",0,)</f>
        <v/>
      </c>
      <c r="C74" s="66">
        <f>_xlfn.XLOOKUP(CoreValuesResults[[#This Row],[Team Number]],InnovationProjectResults[Team Number],InnovationProjectResults[Explore 2 (CV)])</f>
        <v>0</v>
      </c>
      <c r="D74" s="66">
        <f>_xlfn.XLOOKUP(CoreValuesResults[[#This Row],[Team Number]],InnovationProjectResults[Team Number],InnovationProjectResults[Ideate 3 (CV)])</f>
        <v>0</v>
      </c>
      <c r="E74" s="66">
        <f>_xlfn.XLOOKUP(CoreValuesResults[[#This Row],[Team Number]],InnovationProjectResults[Team Number],InnovationProjectResults[Implement 1 (CV)])</f>
        <v>0</v>
      </c>
      <c r="F74" s="66">
        <f>_xlfn.XLOOKUP(CoreValuesResults[[#This Row],[Team Number]],InnovationProjectResults[Team Number],InnovationProjectResults[Communicate 2 (CV)])</f>
        <v>0</v>
      </c>
      <c r="G74" s="66">
        <f>_xlfn.XLOOKUP(CoreValuesResults[[#This Row],[Team Number]],RobotDesignResults[Team Number],RobotDesignResults[Identify 2 (CV)])</f>
        <v>0</v>
      </c>
      <c r="H74" s="66">
        <f>_xlfn.XLOOKUP(CoreValuesResults[[#This Row],[Team Number]],RobotDesignResults[Team Number],RobotDesignResults[Iterate 3 (CV)])</f>
        <v>0</v>
      </c>
      <c r="I74" s="66">
        <f>_xlfn.XLOOKUP(CoreValuesResults[[#This Row],[Team Number]],RobotDesignResults[Team Number],RobotDesignResults[Communicate 1 (CV)])</f>
        <v>0</v>
      </c>
      <c r="J74" s="66">
        <f>_xlfn.XLOOKUP(CoreValuesResults[[#This Row],[Team Number]],RobotDesignResults[Team Number],RobotDesignResults[Communicate 2 (CV)])</f>
        <v>0</v>
      </c>
      <c r="K74" s="12"/>
      <c r="L74" s="12"/>
      <c r="M74" s="12"/>
      <c r="N74" s="12"/>
      <c r="O74" s="12"/>
      <c r="P74" s="12"/>
      <c r="Q74" s="8"/>
      <c r="R74" s="8"/>
      <c r="S74" s="8"/>
      <c r="T74" s="34">
        <f>SUM(CoreValuesResults[[#This Row],[Project CV 1 - EXPLORE]:[Engineering CV 4 - COMMUNINCATE]],CoreValuesResults[[#This Row],[Gracious Professionalism Score]])</f>
        <v>0</v>
      </c>
      <c r="U74" s="21">
        <f>IF(CoreValuesResults[[#This Row],[Team Number]]&gt;0,MIN(_xlfn.RANK.EQ(CoreValuesResults[[#This Row],[Core Values Score]],CoreValuesResults[Core Values Score],0),NumberOfTeams),NumberOfTeams+1)</f>
        <v>9</v>
      </c>
      <c r="V74" s="35"/>
      <c r="W74" s="35"/>
    </row>
    <row r="75" spans="1:23" ht="30" customHeight="1" x14ac:dyDescent="0.25">
      <c r="A75" s="8">
        <f>_xlfn.XLOOKUP(74,OfficialTeamList[Row],OfficialTeamList[Team Number],"ERROR",0)</f>
        <v>0</v>
      </c>
      <c r="B75" s="20" t="str">
        <f>_xlfn.XLOOKUP(CoreValuesResults[[#This Row],[Team Number]],OfficialTeamList[Team Number],OfficialTeamList[Team Name],"",0,)</f>
        <v/>
      </c>
      <c r="C75" s="66">
        <f>_xlfn.XLOOKUP(CoreValuesResults[[#This Row],[Team Number]],InnovationProjectResults[Team Number],InnovationProjectResults[Explore 2 (CV)])</f>
        <v>0</v>
      </c>
      <c r="D75" s="66">
        <f>_xlfn.XLOOKUP(CoreValuesResults[[#This Row],[Team Number]],InnovationProjectResults[Team Number],InnovationProjectResults[Ideate 3 (CV)])</f>
        <v>0</v>
      </c>
      <c r="E75" s="66">
        <f>_xlfn.XLOOKUP(CoreValuesResults[[#This Row],[Team Number]],InnovationProjectResults[Team Number],InnovationProjectResults[Implement 1 (CV)])</f>
        <v>0</v>
      </c>
      <c r="F75" s="66">
        <f>_xlfn.XLOOKUP(CoreValuesResults[[#This Row],[Team Number]],InnovationProjectResults[Team Number],InnovationProjectResults[Communicate 2 (CV)])</f>
        <v>0</v>
      </c>
      <c r="G75" s="66">
        <f>_xlfn.XLOOKUP(CoreValuesResults[[#This Row],[Team Number]],RobotDesignResults[Team Number],RobotDesignResults[Identify 2 (CV)])</f>
        <v>0</v>
      </c>
      <c r="H75" s="66">
        <f>_xlfn.XLOOKUP(CoreValuesResults[[#This Row],[Team Number]],RobotDesignResults[Team Number],RobotDesignResults[Iterate 3 (CV)])</f>
        <v>0</v>
      </c>
      <c r="I75" s="66">
        <f>_xlfn.XLOOKUP(CoreValuesResults[[#This Row],[Team Number]],RobotDesignResults[Team Number],RobotDesignResults[Communicate 1 (CV)])</f>
        <v>0</v>
      </c>
      <c r="J75" s="66">
        <f>_xlfn.XLOOKUP(CoreValuesResults[[#This Row],[Team Number]],RobotDesignResults[Team Number],RobotDesignResults[Communicate 2 (CV)])</f>
        <v>0</v>
      </c>
      <c r="K75" s="12"/>
      <c r="L75" s="12"/>
      <c r="M75" s="12"/>
      <c r="N75" s="12"/>
      <c r="O75" s="12"/>
      <c r="P75" s="12"/>
      <c r="Q75" s="8"/>
      <c r="R75" s="8"/>
      <c r="S75" s="8"/>
      <c r="T75" s="34">
        <f>SUM(CoreValuesResults[[#This Row],[Project CV 1 - EXPLORE]:[Engineering CV 4 - COMMUNINCATE]],CoreValuesResults[[#This Row],[Gracious Professionalism Score]])</f>
        <v>0</v>
      </c>
      <c r="U75" s="21">
        <f>IF(CoreValuesResults[[#This Row],[Team Number]]&gt;0,MIN(_xlfn.RANK.EQ(CoreValuesResults[[#This Row],[Core Values Score]],CoreValuesResults[Core Values Score],0),NumberOfTeams),NumberOfTeams+1)</f>
        <v>9</v>
      </c>
      <c r="V75" s="35"/>
      <c r="W75" s="35"/>
    </row>
    <row r="76" spans="1:23" ht="30" customHeight="1" x14ac:dyDescent="0.25">
      <c r="A76" s="8">
        <f>_xlfn.XLOOKUP(75,OfficialTeamList[Row],OfficialTeamList[Team Number],"ERROR",0)</f>
        <v>0</v>
      </c>
      <c r="B76" s="20" t="str">
        <f>_xlfn.XLOOKUP(CoreValuesResults[[#This Row],[Team Number]],OfficialTeamList[Team Number],OfficialTeamList[Team Name],"",0,)</f>
        <v/>
      </c>
      <c r="C76" s="66">
        <f>_xlfn.XLOOKUP(CoreValuesResults[[#This Row],[Team Number]],InnovationProjectResults[Team Number],InnovationProjectResults[Explore 2 (CV)])</f>
        <v>0</v>
      </c>
      <c r="D76" s="66">
        <f>_xlfn.XLOOKUP(CoreValuesResults[[#This Row],[Team Number]],InnovationProjectResults[Team Number],InnovationProjectResults[Ideate 3 (CV)])</f>
        <v>0</v>
      </c>
      <c r="E76" s="66">
        <f>_xlfn.XLOOKUP(CoreValuesResults[[#This Row],[Team Number]],InnovationProjectResults[Team Number],InnovationProjectResults[Implement 1 (CV)])</f>
        <v>0</v>
      </c>
      <c r="F76" s="66">
        <f>_xlfn.XLOOKUP(CoreValuesResults[[#This Row],[Team Number]],InnovationProjectResults[Team Number],InnovationProjectResults[Communicate 2 (CV)])</f>
        <v>0</v>
      </c>
      <c r="G76" s="66">
        <f>_xlfn.XLOOKUP(CoreValuesResults[[#This Row],[Team Number]],RobotDesignResults[Team Number],RobotDesignResults[Identify 2 (CV)])</f>
        <v>0</v>
      </c>
      <c r="H76" s="66">
        <f>_xlfn.XLOOKUP(CoreValuesResults[[#This Row],[Team Number]],RobotDesignResults[Team Number],RobotDesignResults[Iterate 3 (CV)])</f>
        <v>0</v>
      </c>
      <c r="I76" s="66">
        <f>_xlfn.XLOOKUP(CoreValuesResults[[#This Row],[Team Number]],RobotDesignResults[Team Number],RobotDesignResults[Communicate 1 (CV)])</f>
        <v>0</v>
      </c>
      <c r="J76" s="66">
        <f>_xlfn.XLOOKUP(CoreValuesResults[[#This Row],[Team Number]],RobotDesignResults[Team Number],RobotDesignResults[Communicate 2 (CV)])</f>
        <v>0</v>
      </c>
      <c r="K76" s="12"/>
      <c r="L76" s="12"/>
      <c r="M76" s="12"/>
      <c r="N76" s="12"/>
      <c r="O76" s="12"/>
      <c r="P76" s="12"/>
      <c r="Q76" s="8"/>
      <c r="R76" s="8"/>
      <c r="S76" s="8"/>
      <c r="T76" s="34">
        <f>SUM(CoreValuesResults[[#This Row],[Project CV 1 - EXPLORE]:[Engineering CV 4 - COMMUNINCATE]],CoreValuesResults[[#This Row],[Gracious Professionalism Score]])</f>
        <v>0</v>
      </c>
      <c r="U76" s="21">
        <f>IF(CoreValuesResults[[#This Row],[Team Number]]&gt;0,MIN(_xlfn.RANK.EQ(CoreValuesResults[[#This Row],[Core Values Score]],CoreValuesResults[Core Values Score],0),NumberOfTeams),NumberOfTeams+1)</f>
        <v>9</v>
      </c>
      <c r="V76" s="35"/>
      <c r="W76" s="35"/>
    </row>
    <row r="77" spans="1:23" ht="30" customHeight="1" x14ac:dyDescent="0.25">
      <c r="A77" s="8">
        <f>_xlfn.XLOOKUP(76,OfficialTeamList[Row],OfficialTeamList[Team Number],"ERROR",0)</f>
        <v>0</v>
      </c>
      <c r="B77" s="20" t="str">
        <f>_xlfn.XLOOKUP(CoreValuesResults[[#This Row],[Team Number]],OfficialTeamList[Team Number],OfficialTeamList[Team Name],"",0,)</f>
        <v/>
      </c>
      <c r="C77" s="66">
        <f>_xlfn.XLOOKUP(CoreValuesResults[[#This Row],[Team Number]],InnovationProjectResults[Team Number],InnovationProjectResults[Explore 2 (CV)])</f>
        <v>0</v>
      </c>
      <c r="D77" s="66">
        <f>_xlfn.XLOOKUP(CoreValuesResults[[#This Row],[Team Number]],InnovationProjectResults[Team Number],InnovationProjectResults[Ideate 3 (CV)])</f>
        <v>0</v>
      </c>
      <c r="E77" s="66">
        <f>_xlfn.XLOOKUP(CoreValuesResults[[#This Row],[Team Number]],InnovationProjectResults[Team Number],InnovationProjectResults[Implement 1 (CV)])</f>
        <v>0</v>
      </c>
      <c r="F77" s="66">
        <f>_xlfn.XLOOKUP(CoreValuesResults[[#This Row],[Team Number]],InnovationProjectResults[Team Number],InnovationProjectResults[Communicate 2 (CV)])</f>
        <v>0</v>
      </c>
      <c r="G77" s="66">
        <f>_xlfn.XLOOKUP(CoreValuesResults[[#This Row],[Team Number]],RobotDesignResults[Team Number],RobotDesignResults[Identify 2 (CV)])</f>
        <v>0</v>
      </c>
      <c r="H77" s="66">
        <f>_xlfn.XLOOKUP(CoreValuesResults[[#This Row],[Team Number]],RobotDesignResults[Team Number],RobotDesignResults[Iterate 3 (CV)])</f>
        <v>0</v>
      </c>
      <c r="I77" s="66">
        <f>_xlfn.XLOOKUP(CoreValuesResults[[#This Row],[Team Number]],RobotDesignResults[Team Number],RobotDesignResults[Communicate 1 (CV)])</f>
        <v>0</v>
      </c>
      <c r="J77" s="66">
        <f>_xlfn.XLOOKUP(CoreValuesResults[[#This Row],[Team Number]],RobotDesignResults[Team Number],RobotDesignResults[Communicate 2 (CV)])</f>
        <v>0</v>
      </c>
      <c r="K77" s="12"/>
      <c r="L77" s="12"/>
      <c r="M77" s="12"/>
      <c r="N77" s="12"/>
      <c r="O77" s="12"/>
      <c r="P77" s="12"/>
      <c r="Q77" s="8"/>
      <c r="R77" s="8"/>
      <c r="S77" s="8"/>
      <c r="T77" s="34">
        <f>SUM(CoreValuesResults[[#This Row],[Project CV 1 - EXPLORE]:[Engineering CV 4 - COMMUNINCATE]],CoreValuesResults[[#This Row],[Gracious Professionalism Score]])</f>
        <v>0</v>
      </c>
      <c r="U77" s="21">
        <f>IF(CoreValuesResults[[#This Row],[Team Number]]&gt;0,MIN(_xlfn.RANK.EQ(CoreValuesResults[[#This Row],[Core Values Score]],CoreValuesResults[Core Values Score],0),NumberOfTeams),NumberOfTeams+1)</f>
        <v>9</v>
      </c>
      <c r="V77" s="35"/>
      <c r="W77" s="35"/>
    </row>
    <row r="78" spans="1:23" ht="30" customHeight="1" x14ac:dyDescent="0.25">
      <c r="A78" s="8">
        <f>_xlfn.XLOOKUP(77,OfficialTeamList[Row],OfficialTeamList[Team Number],"ERROR",0)</f>
        <v>0</v>
      </c>
      <c r="B78" s="20" t="str">
        <f>_xlfn.XLOOKUP(CoreValuesResults[[#This Row],[Team Number]],OfficialTeamList[Team Number],OfficialTeamList[Team Name],"",0,)</f>
        <v/>
      </c>
      <c r="C78" s="66">
        <f>_xlfn.XLOOKUP(CoreValuesResults[[#This Row],[Team Number]],InnovationProjectResults[Team Number],InnovationProjectResults[Explore 2 (CV)])</f>
        <v>0</v>
      </c>
      <c r="D78" s="66">
        <f>_xlfn.XLOOKUP(CoreValuesResults[[#This Row],[Team Number]],InnovationProjectResults[Team Number],InnovationProjectResults[Ideate 3 (CV)])</f>
        <v>0</v>
      </c>
      <c r="E78" s="66">
        <f>_xlfn.XLOOKUP(CoreValuesResults[[#This Row],[Team Number]],InnovationProjectResults[Team Number],InnovationProjectResults[Implement 1 (CV)])</f>
        <v>0</v>
      </c>
      <c r="F78" s="66">
        <f>_xlfn.XLOOKUP(CoreValuesResults[[#This Row],[Team Number]],InnovationProjectResults[Team Number],InnovationProjectResults[Communicate 2 (CV)])</f>
        <v>0</v>
      </c>
      <c r="G78" s="66">
        <f>_xlfn.XLOOKUP(CoreValuesResults[[#This Row],[Team Number]],RobotDesignResults[Team Number],RobotDesignResults[Identify 2 (CV)])</f>
        <v>0</v>
      </c>
      <c r="H78" s="66">
        <f>_xlfn.XLOOKUP(CoreValuesResults[[#This Row],[Team Number]],RobotDesignResults[Team Number],RobotDesignResults[Iterate 3 (CV)])</f>
        <v>0</v>
      </c>
      <c r="I78" s="66">
        <f>_xlfn.XLOOKUP(CoreValuesResults[[#This Row],[Team Number]],RobotDesignResults[Team Number],RobotDesignResults[Communicate 1 (CV)])</f>
        <v>0</v>
      </c>
      <c r="J78" s="66">
        <f>_xlfn.XLOOKUP(CoreValuesResults[[#This Row],[Team Number]],RobotDesignResults[Team Number],RobotDesignResults[Communicate 2 (CV)])</f>
        <v>0</v>
      </c>
      <c r="K78" s="12"/>
      <c r="L78" s="12"/>
      <c r="M78" s="12"/>
      <c r="N78" s="12"/>
      <c r="O78" s="12"/>
      <c r="P78" s="12"/>
      <c r="Q78" s="8"/>
      <c r="R78" s="8"/>
      <c r="S78" s="8"/>
      <c r="T78" s="34">
        <f>SUM(CoreValuesResults[[#This Row],[Project CV 1 - EXPLORE]:[Engineering CV 4 - COMMUNINCATE]],CoreValuesResults[[#This Row],[Gracious Professionalism Score]])</f>
        <v>0</v>
      </c>
      <c r="U78" s="21">
        <f>IF(CoreValuesResults[[#This Row],[Team Number]]&gt;0,MIN(_xlfn.RANK.EQ(CoreValuesResults[[#This Row],[Core Values Score]],CoreValuesResults[Core Values Score],0),NumberOfTeams),NumberOfTeams+1)</f>
        <v>9</v>
      </c>
      <c r="V78" s="35"/>
      <c r="W78" s="35"/>
    </row>
    <row r="79" spans="1:23" ht="30" customHeight="1" x14ac:dyDescent="0.25">
      <c r="A79" s="8">
        <f>_xlfn.XLOOKUP(78,OfficialTeamList[Row],OfficialTeamList[Team Number],"ERROR",0)</f>
        <v>0</v>
      </c>
      <c r="B79" s="20" t="str">
        <f>_xlfn.XLOOKUP(CoreValuesResults[[#This Row],[Team Number]],OfficialTeamList[Team Number],OfficialTeamList[Team Name],"",0,)</f>
        <v/>
      </c>
      <c r="C79" s="66">
        <f>_xlfn.XLOOKUP(CoreValuesResults[[#This Row],[Team Number]],InnovationProjectResults[Team Number],InnovationProjectResults[Explore 2 (CV)])</f>
        <v>0</v>
      </c>
      <c r="D79" s="66">
        <f>_xlfn.XLOOKUP(CoreValuesResults[[#This Row],[Team Number]],InnovationProjectResults[Team Number],InnovationProjectResults[Ideate 3 (CV)])</f>
        <v>0</v>
      </c>
      <c r="E79" s="66">
        <f>_xlfn.XLOOKUP(CoreValuesResults[[#This Row],[Team Number]],InnovationProjectResults[Team Number],InnovationProjectResults[Implement 1 (CV)])</f>
        <v>0</v>
      </c>
      <c r="F79" s="66">
        <f>_xlfn.XLOOKUP(CoreValuesResults[[#This Row],[Team Number]],InnovationProjectResults[Team Number],InnovationProjectResults[Communicate 2 (CV)])</f>
        <v>0</v>
      </c>
      <c r="G79" s="66">
        <f>_xlfn.XLOOKUP(CoreValuesResults[[#This Row],[Team Number]],RobotDesignResults[Team Number],RobotDesignResults[Identify 2 (CV)])</f>
        <v>0</v>
      </c>
      <c r="H79" s="66">
        <f>_xlfn.XLOOKUP(CoreValuesResults[[#This Row],[Team Number]],RobotDesignResults[Team Number],RobotDesignResults[Iterate 3 (CV)])</f>
        <v>0</v>
      </c>
      <c r="I79" s="66">
        <f>_xlfn.XLOOKUP(CoreValuesResults[[#This Row],[Team Number]],RobotDesignResults[Team Number],RobotDesignResults[Communicate 1 (CV)])</f>
        <v>0</v>
      </c>
      <c r="J79" s="66">
        <f>_xlfn.XLOOKUP(CoreValuesResults[[#This Row],[Team Number]],RobotDesignResults[Team Number],RobotDesignResults[Communicate 2 (CV)])</f>
        <v>0</v>
      </c>
      <c r="K79" s="12"/>
      <c r="L79" s="12"/>
      <c r="M79" s="12"/>
      <c r="N79" s="12"/>
      <c r="O79" s="12"/>
      <c r="P79" s="12"/>
      <c r="Q79" s="8"/>
      <c r="R79" s="8"/>
      <c r="S79" s="8"/>
      <c r="T79" s="34">
        <f>SUM(CoreValuesResults[[#This Row],[Project CV 1 - EXPLORE]:[Engineering CV 4 - COMMUNINCATE]],CoreValuesResults[[#This Row],[Gracious Professionalism Score]])</f>
        <v>0</v>
      </c>
      <c r="U79" s="21">
        <f>IF(CoreValuesResults[[#This Row],[Team Number]]&gt;0,MIN(_xlfn.RANK.EQ(CoreValuesResults[[#This Row],[Core Values Score]],CoreValuesResults[Core Values Score],0),NumberOfTeams),NumberOfTeams+1)</f>
        <v>9</v>
      </c>
      <c r="V79" s="35"/>
      <c r="W79" s="35"/>
    </row>
    <row r="80" spans="1:23" ht="30" customHeight="1" x14ac:dyDescent="0.25">
      <c r="A80" s="8">
        <f>_xlfn.XLOOKUP(79,OfficialTeamList[Row],OfficialTeamList[Team Number],"ERROR",0)</f>
        <v>0</v>
      </c>
      <c r="B80" s="20" t="str">
        <f>_xlfn.XLOOKUP(CoreValuesResults[[#This Row],[Team Number]],OfficialTeamList[Team Number],OfficialTeamList[Team Name],"",0,)</f>
        <v/>
      </c>
      <c r="C80" s="66">
        <f>_xlfn.XLOOKUP(CoreValuesResults[[#This Row],[Team Number]],InnovationProjectResults[Team Number],InnovationProjectResults[Explore 2 (CV)])</f>
        <v>0</v>
      </c>
      <c r="D80" s="66">
        <f>_xlfn.XLOOKUP(CoreValuesResults[[#This Row],[Team Number]],InnovationProjectResults[Team Number],InnovationProjectResults[Ideate 3 (CV)])</f>
        <v>0</v>
      </c>
      <c r="E80" s="66">
        <f>_xlfn.XLOOKUP(CoreValuesResults[[#This Row],[Team Number]],InnovationProjectResults[Team Number],InnovationProjectResults[Implement 1 (CV)])</f>
        <v>0</v>
      </c>
      <c r="F80" s="66">
        <f>_xlfn.XLOOKUP(CoreValuesResults[[#This Row],[Team Number]],InnovationProjectResults[Team Number],InnovationProjectResults[Communicate 2 (CV)])</f>
        <v>0</v>
      </c>
      <c r="G80" s="66">
        <f>_xlfn.XLOOKUP(CoreValuesResults[[#This Row],[Team Number]],RobotDesignResults[Team Number],RobotDesignResults[Identify 2 (CV)])</f>
        <v>0</v>
      </c>
      <c r="H80" s="66">
        <f>_xlfn.XLOOKUP(CoreValuesResults[[#This Row],[Team Number]],RobotDesignResults[Team Number],RobotDesignResults[Iterate 3 (CV)])</f>
        <v>0</v>
      </c>
      <c r="I80" s="66">
        <f>_xlfn.XLOOKUP(CoreValuesResults[[#This Row],[Team Number]],RobotDesignResults[Team Number],RobotDesignResults[Communicate 1 (CV)])</f>
        <v>0</v>
      </c>
      <c r="J80" s="66">
        <f>_xlfn.XLOOKUP(CoreValuesResults[[#This Row],[Team Number]],RobotDesignResults[Team Number],RobotDesignResults[Communicate 2 (CV)])</f>
        <v>0</v>
      </c>
      <c r="K80" s="12"/>
      <c r="L80" s="12"/>
      <c r="M80" s="12"/>
      <c r="N80" s="12"/>
      <c r="O80" s="12"/>
      <c r="P80" s="12"/>
      <c r="Q80" s="8"/>
      <c r="R80" s="8"/>
      <c r="S80" s="8"/>
      <c r="T80" s="34">
        <f>SUM(CoreValuesResults[[#This Row],[Project CV 1 - EXPLORE]:[Engineering CV 4 - COMMUNINCATE]],CoreValuesResults[[#This Row],[Gracious Professionalism Score]])</f>
        <v>0</v>
      </c>
      <c r="U80" s="21">
        <f>IF(CoreValuesResults[[#This Row],[Team Number]]&gt;0,MIN(_xlfn.RANK.EQ(CoreValuesResults[[#This Row],[Core Values Score]],CoreValuesResults[Core Values Score],0),NumberOfTeams),NumberOfTeams+1)</f>
        <v>9</v>
      </c>
      <c r="V80" s="35"/>
      <c r="W80" s="35"/>
    </row>
    <row r="81" spans="1:23" ht="30" customHeight="1" x14ac:dyDescent="0.25">
      <c r="A81" s="8">
        <f>_xlfn.XLOOKUP(80,OfficialTeamList[Row],OfficialTeamList[Team Number],"ERROR",0)</f>
        <v>0</v>
      </c>
      <c r="B81" s="20" t="str">
        <f>_xlfn.XLOOKUP(CoreValuesResults[[#This Row],[Team Number]],OfficialTeamList[Team Number],OfficialTeamList[Team Name],"",0,)</f>
        <v/>
      </c>
      <c r="C81" s="66">
        <f>_xlfn.XLOOKUP(CoreValuesResults[[#This Row],[Team Number]],InnovationProjectResults[Team Number],InnovationProjectResults[Explore 2 (CV)])</f>
        <v>0</v>
      </c>
      <c r="D81" s="66">
        <f>_xlfn.XLOOKUP(CoreValuesResults[[#This Row],[Team Number]],InnovationProjectResults[Team Number],InnovationProjectResults[Ideate 3 (CV)])</f>
        <v>0</v>
      </c>
      <c r="E81" s="66">
        <f>_xlfn.XLOOKUP(CoreValuesResults[[#This Row],[Team Number]],InnovationProjectResults[Team Number],InnovationProjectResults[Implement 1 (CV)])</f>
        <v>0</v>
      </c>
      <c r="F81" s="66">
        <f>_xlfn.XLOOKUP(CoreValuesResults[[#This Row],[Team Number]],InnovationProjectResults[Team Number],InnovationProjectResults[Communicate 2 (CV)])</f>
        <v>0</v>
      </c>
      <c r="G81" s="66">
        <f>_xlfn.XLOOKUP(CoreValuesResults[[#This Row],[Team Number]],RobotDesignResults[Team Number],RobotDesignResults[Identify 2 (CV)])</f>
        <v>0</v>
      </c>
      <c r="H81" s="66">
        <f>_xlfn.XLOOKUP(CoreValuesResults[[#This Row],[Team Number]],RobotDesignResults[Team Number],RobotDesignResults[Iterate 3 (CV)])</f>
        <v>0</v>
      </c>
      <c r="I81" s="66">
        <f>_xlfn.XLOOKUP(CoreValuesResults[[#This Row],[Team Number]],RobotDesignResults[Team Number],RobotDesignResults[Communicate 1 (CV)])</f>
        <v>0</v>
      </c>
      <c r="J81" s="66">
        <f>_xlfn.XLOOKUP(CoreValuesResults[[#This Row],[Team Number]],RobotDesignResults[Team Number],RobotDesignResults[Communicate 2 (CV)])</f>
        <v>0</v>
      </c>
      <c r="K81" s="12"/>
      <c r="L81" s="12"/>
      <c r="M81" s="12"/>
      <c r="N81" s="12"/>
      <c r="O81" s="12"/>
      <c r="P81" s="12"/>
      <c r="Q81" s="8"/>
      <c r="R81" s="8"/>
      <c r="S81" s="8"/>
      <c r="T81" s="34">
        <f>SUM(CoreValuesResults[[#This Row],[Project CV 1 - EXPLORE]:[Engineering CV 4 - COMMUNINCATE]],CoreValuesResults[[#This Row],[Gracious Professionalism Score]])</f>
        <v>0</v>
      </c>
      <c r="U81" s="21">
        <f>IF(CoreValuesResults[[#This Row],[Team Number]]&gt;0,MIN(_xlfn.RANK.EQ(CoreValuesResults[[#This Row],[Core Values Score]],CoreValuesResults[Core Values Score],0),NumberOfTeams),NumberOfTeams+1)</f>
        <v>9</v>
      </c>
      <c r="V81" s="35"/>
      <c r="W81" s="35"/>
    </row>
    <row r="82" spans="1:23" ht="30" customHeight="1" x14ac:dyDescent="0.25">
      <c r="A82" s="8">
        <f>_xlfn.XLOOKUP(81,OfficialTeamList[Row],OfficialTeamList[Team Number],"ERROR",0)</f>
        <v>0</v>
      </c>
      <c r="B82" s="20" t="str">
        <f>_xlfn.XLOOKUP(CoreValuesResults[[#This Row],[Team Number]],OfficialTeamList[Team Number],OfficialTeamList[Team Name],"",0,)</f>
        <v/>
      </c>
      <c r="C82" s="66">
        <f>_xlfn.XLOOKUP(CoreValuesResults[[#This Row],[Team Number]],InnovationProjectResults[Team Number],InnovationProjectResults[Explore 2 (CV)])</f>
        <v>0</v>
      </c>
      <c r="D82" s="66">
        <f>_xlfn.XLOOKUP(CoreValuesResults[[#This Row],[Team Number]],InnovationProjectResults[Team Number],InnovationProjectResults[Ideate 3 (CV)])</f>
        <v>0</v>
      </c>
      <c r="E82" s="66">
        <f>_xlfn.XLOOKUP(CoreValuesResults[[#This Row],[Team Number]],InnovationProjectResults[Team Number],InnovationProjectResults[Implement 1 (CV)])</f>
        <v>0</v>
      </c>
      <c r="F82" s="66">
        <f>_xlfn.XLOOKUP(CoreValuesResults[[#This Row],[Team Number]],InnovationProjectResults[Team Number],InnovationProjectResults[Communicate 2 (CV)])</f>
        <v>0</v>
      </c>
      <c r="G82" s="66">
        <f>_xlfn.XLOOKUP(CoreValuesResults[[#This Row],[Team Number]],RobotDesignResults[Team Number],RobotDesignResults[Identify 2 (CV)])</f>
        <v>0</v>
      </c>
      <c r="H82" s="66">
        <f>_xlfn.XLOOKUP(CoreValuesResults[[#This Row],[Team Number]],RobotDesignResults[Team Number],RobotDesignResults[Iterate 3 (CV)])</f>
        <v>0</v>
      </c>
      <c r="I82" s="66">
        <f>_xlfn.XLOOKUP(CoreValuesResults[[#This Row],[Team Number]],RobotDesignResults[Team Number],RobotDesignResults[Communicate 1 (CV)])</f>
        <v>0</v>
      </c>
      <c r="J82" s="66">
        <f>_xlfn.XLOOKUP(CoreValuesResults[[#This Row],[Team Number]],RobotDesignResults[Team Number],RobotDesignResults[Communicate 2 (CV)])</f>
        <v>0</v>
      </c>
      <c r="K82" s="12"/>
      <c r="L82" s="12"/>
      <c r="M82" s="12"/>
      <c r="N82" s="12"/>
      <c r="O82" s="12"/>
      <c r="P82" s="12"/>
      <c r="Q82" s="8"/>
      <c r="R82" s="8"/>
      <c r="S82" s="8"/>
      <c r="T82" s="34">
        <f>SUM(CoreValuesResults[[#This Row],[Project CV 1 - EXPLORE]:[Engineering CV 4 - COMMUNINCATE]],CoreValuesResults[[#This Row],[Gracious Professionalism Score]])</f>
        <v>0</v>
      </c>
      <c r="U82" s="21">
        <f>IF(CoreValuesResults[[#This Row],[Team Number]]&gt;0,MIN(_xlfn.RANK.EQ(CoreValuesResults[[#This Row],[Core Values Score]],CoreValuesResults[Core Values Score],0),NumberOfTeams),NumberOfTeams+1)</f>
        <v>9</v>
      </c>
      <c r="V82" s="35"/>
      <c r="W82" s="35"/>
    </row>
    <row r="83" spans="1:23" ht="30" customHeight="1" x14ac:dyDescent="0.25">
      <c r="A83" s="8">
        <f>_xlfn.XLOOKUP(82,OfficialTeamList[Row],OfficialTeamList[Team Number],"ERROR",0)</f>
        <v>0</v>
      </c>
      <c r="B83" s="20" t="str">
        <f>_xlfn.XLOOKUP(CoreValuesResults[[#This Row],[Team Number]],OfficialTeamList[Team Number],OfficialTeamList[Team Name],"",0,)</f>
        <v/>
      </c>
      <c r="C83" s="66">
        <f>_xlfn.XLOOKUP(CoreValuesResults[[#This Row],[Team Number]],InnovationProjectResults[Team Number],InnovationProjectResults[Explore 2 (CV)])</f>
        <v>0</v>
      </c>
      <c r="D83" s="66">
        <f>_xlfn.XLOOKUP(CoreValuesResults[[#This Row],[Team Number]],InnovationProjectResults[Team Number],InnovationProjectResults[Ideate 3 (CV)])</f>
        <v>0</v>
      </c>
      <c r="E83" s="66">
        <f>_xlfn.XLOOKUP(CoreValuesResults[[#This Row],[Team Number]],InnovationProjectResults[Team Number],InnovationProjectResults[Implement 1 (CV)])</f>
        <v>0</v>
      </c>
      <c r="F83" s="66">
        <f>_xlfn.XLOOKUP(CoreValuesResults[[#This Row],[Team Number]],InnovationProjectResults[Team Number],InnovationProjectResults[Communicate 2 (CV)])</f>
        <v>0</v>
      </c>
      <c r="G83" s="66">
        <f>_xlfn.XLOOKUP(CoreValuesResults[[#This Row],[Team Number]],RobotDesignResults[Team Number],RobotDesignResults[Identify 2 (CV)])</f>
        <v>0</v>
      </c>
      <c r="H83" s="66">
        <f>_xlfn.XLOOKUP(CoreValuesResults[[#This Row],[Team Number]],RobotDesignResults[Team Number],RobotDesignResults[Iterate 3 (CV)])</f>
        <v>0</v>
      </c>
      <c r="I83" s="66">
        <f>_xlfn.XLOOKUP(CoreValuesResults[[#This Row],[Team Number]],RobotDesignResults[Team Number],RobotDesignResults[Communicate 1 (CV)])</f>
        <v>0</v>
      </c>
      <c r="J83" s="66">
        <f>_xlfn.XLOOKUP(CoreValuesResults[[#This Row],[Team Number]],RobotDesignResults[Team Number],RobotDesignResults[Communicate 2 (CV)])</f>
        <v>0</v>
      </c>
      <c r="K83" s="12"/>
      <c r="L83" s="12"/>
      <c r="M83" s="12"/>
      <c r="N83" s="12"/>
      <c r="O83" s="12"/>
      <c r="P83" s="12"/>
      <c r="Q83" s="8"/>
      <c r="R83" s="8"/>
      <c r="S83" s="8"/>
      <c r="T83" s="34">
        <f>SUM(CoreValuesResults[[#This Row],[Project CV 1 - EXPLORE]:[Engineering CV 4 - COMMUNINCATE]],CoreValuesResults[[#This Row],[Gracious Professionalism Score]])</f>
        <v>0</v>
      </c>
      <c r="U83" s="21">
        <f>IF(CoreValuesResults[[#This Row],[Team Number]]&gt;0,MIN(_xlfn.RANK.EQ(CoreValuesResults[[#This Row],[Core Values Score]],CoreValuesResults[Core Values Score],0),NumberOfTeams),NumberOfTeams+1)</f>
        <v>9</v>
      </c>
      <c r="V83" s="35"/>
      <c r="W83" s="35"/>
    </row>
    <row r="84" spans="1:23" ht="30" customHeight="1" x14ac:dyDescent="0.25">
      <c r="A84" s="8">
        <f>_xlfn.XLOOKUP(83,OfficialTeamList[Row],OfficialTeamList[Team Number],"ERROR",0)</f>
        <v>0</v>
      </c>
      <c r="B84" s="20" t="str">
        <f>_xlfn.XLOOKUP(CoreValuesResults[[#This Row],[Team Number]],OfficialTeamList[Team Number],OfficialTeamList[Team Name],"",0,)</f>
        <v/>
      </c>
      <c r="C84" s="66">
        <f>_xlfn.XLOOKUP(CoreValuesResults[[#This Row],[Team Number]],InnovationProjectResults[Team Number],InnovationProjectResults[Explore 2 (CV)])</f>
        <v>0</v>
      </c>
      <c r="D84" s="66">
        <f>_xlfn.XLOOKUP(CoreValuesResults[[#This Row],[Team Number]],InnovationProjectResults[Team Number],InnovationProjectResults[Ideate 3 (CV)])</f>
        <v>0</v>
      </c>
      <c r="E84" s="66">
        <f>_xlfn.XLOOKUP(CoreValuesResults[[#This Row],[Team Number]],InnovationProjectResults[Team Number],InnovationProjectResults[Implement 1 (CV)])</f>
        <v>0</v>
      </c>
      <c r="F84" s="66">
        <f>_xlfn.XLOOKUP(CoreValuesResults[[#This Row],[Team Number]],InnovationProjectResults[Team Number],InnovationProjectResults[Communicate 2 (CV)])</f>
        <v>0</v>
      </c>
      <c r="G84" s="66">
        <f>_xlfn.XLOOKUP(CoreValuesResults[[#This Row],[Team Number]],RobotDesignResults[Team Number],RobotDesignResults[Identify 2 (CV)])</f>
        <v>0</v>
      </c>
      <c r="H84" s="66">
        <f>_xlfn.XLOOKUP(CoreValuesResults[[#This Row],[Team Number]],RobotDesignResults[Team Number],RobotDesignResults[Iterate 3 (CV)])</f>
        <v>0</v>
      </c>
      <c r="I84" s="66">
        <f>_xlfn.XLOOKUP(CoreValuesResults[[#This Row],[Team Number]],RobotDesignResults[Team Number],RobotDesignResults[Communicate 1 (CV)])</f>
        <v>0</v>
      </c>
      <c r="J84" s="66">
        <f>_xlfn.XLOOKUP(CoreValuesResults[[#This Row],[Team Number]],RobotDesignResults[Team Number],RobotDesignResults[Communicate 2 (CV)])</f>
        <v>0</v>
      </c>
      <c r="K84" s="12"/>
      <c r="L84" s="12"/>
      <c r="M84" s="12"/>
      <c r="N84" s="12"/>
      <c r="O84" s="12"/>
      <c r="P84" s="12"/>
      <c r="Q84" s="8"/>
      <c r="R84" s="8"/>
      <c r="S84" s="8"/>
      <c r="T84" s="34">
        <f>SUM(CoreValuesResults[[#This Row],[Project CV 1 - EXPLORE]:[Engineering CV 4 - COMMUNINCATE]],CoreValuesResults[[#This Row],[Gracious Professionalism Score]])</f>
        <v>0</v>
      </c>
      <c r="U84" s="21">
        <f>IF(CoreValuesResults[[#This Row],[Team Number]]&gt;0,MIN(_xlfn.RANK.EQ(CoreValuesResults[[#This Row],[Core Values Score]],CoreValuesResults[Core Values Score],0),NumberOfTeams),NumberOfTeams+1)</f>
        <v>9</v>
      </c>
      <c r="V84" s="35"/>
      <c r="W84" s="35"/>
    </row>
    <row r="85" spans="1:23" ht="30" customHeight="1" x14ac:dyDescent="0.25">
      <c r="A85" s="8">
        <f>_xlfn.XLOOKUP(84,OfficialTeamList[Row],OfficialTeamList[Team Number],"ERROR",0)</f>
        <v>0</v>
      </c>
      <c r="B85" s="20" t="str">
        <f>_xlfn.XLOOKUP(CoreValuesResults[[#This Row],[Team Number]],OfficialTeamList[Team Number],OfficialTeamList[Team Name],"",0,)</f>
        <v/>
      </c>
      <c r="C85" s="66">
        <f>_xlfn.XLOOKUP(CoreValuesResults[[#This Row],[Team Number]],InnovationProjectResults[Team Number],InnovationProjectResults[Explore 2 (CV)])</f>
        <v>0</v>
      </c>
      <c r="D85" s="66">
        <f>_xlfn.XLOOKUP(CoreValuesResults[[#This Row],[Team Number]],InnovationProjectResults[Team Number],InnovationProjectResults[Ideate 3 (CV)])</f>
        <v>0</v>
      </c>
      <c r="E85" s="66">
        <f>_xlfn.XLOOKUP(CoreValuesResults[[#This Row],[Team Number]],InnovationProjectResults[Team Number],InnovationProjectResults[Implement 1 (CV)])</f>
        <v>0</v>
      </c>
      <c r="F85" s="66">
        <f>_xlfn.XLOOKUP(CoreValuesResults[[#This Row],[Team Number]],InnovationProjectResults[Team Number],InnovationProjectResults[Communicate 2 (CV)])</f>
        <v>0</v>
      </c>
      <c r="G85" s="66">
        <f>_xlfn.XLOOKUP(CoreValuesResults[[#This Row],[Team Number]],RobotDesignResults[Team Number],RobotDesignResults[Identify 2 (CV)])</f>
        <v>0</v>
      </c>
      <c r="H85" s="66">
        <f>_xlfn.XLOOKUP(CoreValuesResults[[#This Row],[Team Number]],RobotDesignResults[Team Number],RobotDesignResults[Iterate 3 (CV)])</f>
        <v>0</v>
      </c>
      <c r="I85" s="66">
        <f>_xlfn.XLOOKUP(CoreValuesResults[[#This Row],[Team Number]],RobotDesignResults[Team Number],RobotDesignResults[Communicate 1 (CV)])</f>
        <v>0</v>
      </c>
      <c r="J85" s="66">
        <f>_xlfn.XLOOKUP(CoreValuesResults[[#This Row],[Team Number]],RobotDesignResults[Team Number],RobotDesignResults[Communicate 2 (CV)])</f>
        <v>0</v>
      </c>
      <c r="K85" s="12"/>
      <c r="L85" s="12"/>
      <c r="M85" s="12"/>
      <c r="N85" s="12"/>
      <c r="O85" s="12"/>
      <c r="P85" s="12"/>
      <c r="Q85" s="8"/>
      <c r="R85" s="8"/>
      <c r="S85" s="8"/>
      <c r="T85" s="34">
        <f>SUM(CoreValuesResults[[#This Row],[Project CV 1 - EXPLORE]:[Engineering CV 4 - COMMUNINCATE]],CoreValuesResults[[#This Row],[Gracious Professionalism Score]])</f>
        <v>0</v>
      </c>
      <c r="U85" s="21">
        <f>IF(CoreValuesResults[[#This Row],[Team Number]]&gt;0,MIN(_xlfn.RANK.EQ(CoreValuesResults[[#This Row],[Core Values Score]],CoreValuesResults[Core Values Score],0),NumberOfTeams),NumberOfTeams+1)</f>
        <v>9</v>
      </c>
      <c r="V85" s="35"/>
      <c r="W85" s="35"/>
    </row>
    <row r="86" spans="1:23" ht="30" customHeight="1" x14ac:dyDescent="0.25">
      <c r="A86" s="8">
        <f>_xlfn.XLOOKUP(85,OfficialTeamList[Row],OfficialTeamList[Team Number],"ERROR",0)</f>
        <v>0</v>
      </c>
      <c r="B86" s="20" t="str">
        <f>_xlfn.XLOOKUP(CoreValuesResults[[#This Row],[Team Number]],OfficialTeamList[Team Number],OfficialTeamList[Team Name],"",0,)</f>
        <v/>
      </c>
      <c r="C86" s="66">
        <f>_xlfn.XLOOKUP(CoreValuesResults[[#This Row],[Team Number]],InnovationProjectResults[Team Number],InnovationProjectResults[Explore 2 (CV)])</f>
        <v>0</v>
      </c>
      <c r="D86" s="66">
        <f>_xlfn.XLOOKUP(CoreValuesResults[[#This Row],[Team Number]],InnovationProjectResults[Team Number],InnovationProjectResults[Ideate 3 (CV)])</f>
        <v>0</v>
      </c>
      <c r="E86" s="66">
        <f>_xlfn.XLOOKUP(CoreValuesResults[[#This Row],[Team Number]],InnovationProjectResults[Team Number],InnovationProjectResults[Implement 1 (CV)])</f>
        <v>0</v>
      </c>
      <c r="F86" s="66">
        <f>_xlfn.XLOOKUP(CoreValuesResults[[#This Row],[Team Number]],InnovationProjectResults[Team Number],InnovationProjectResults[Communicate 2 (CV)])</f>
        <v>0</v>
      </c>
      <c r="G86" s="66">
        <f>_xlfn.XLOOKUP(CoreValuesResults[[#This Row],[Team Number]],RobotDesignResults[Team Number],RobotDesignResults[Identify 2 (CV)])</f>
        <v>0</v>
      </c>
      <c r="H86" s="66">
        <f>_xlfn.XLOOKUP(CoreValuesResults[[#This Row],[Team Number]],RobotDesignResults[Team Number],RobotDesignResults[Iterate 3 (CV)])</f>
        <v>0</v>
      </c>
      <c r="I86" s="66">
        <f>_xlfn.XLOOKUP(CoreValuesResults[[#This Row],[Team Number]],RobotDesignResults[Team Number],RobotDesignResults[Communicate 1 (CV)])</f>
        <v>0</v>
      </c>
      <c r="J86" s="66">
        <f>_xlfn.XLOOKUP(CoreValuesResults[[#This Row],[Team Number]],RobotDesignResults[Team Number],RobotDesignResults[Communicate 2 (CV)])</f>
        <v>0</v>
      </c>
      <c r="K86" s="12"/>
      <c r="L86" s="12"/>
      <c r="M86" s="12"/>
      <c r="N86" s="12"/>
      <c r="O86" s="12"/>
      <c r="P86" s="12"/>
      <c r="Q86" s="8"/>
      <c r="R86" s="8"/>
      <c r="S86" s="8"/>
      <c r="T86" s="34">
        <f>SUM(CoreValuesResults[[#This Row],[Project CV 1 - EXPLORE]:[Engineering CV 4 - COMMUNINCATE]],CoreValuesResults[[#This Row],[Gracious Professionalism Score]])</f>
        <v>0</v>
      </c>
      <c r="U86" s="21">
        <f>IF(CoreValuesResults[[#This Row],[Team Number]]&gt;0,MIN(_xlfn.RANK.EQ(CoreValuesResults[[#This Row],[Core Values Score]],CoreValuesResults[Core Values Score],0),NumberOfTeams),NumberOfTeams+1)</f>
        <v>9</v>
      </c>
      <c r="V86" s="35"/>
      <c r="W86" s="35"/>
    </row>
    <row r="87" spans="1:23" ht="30" customHeight="1" x14ac:dyDescent="0.25">
      <c r="A87" s="8">
        <f>_xlfn.XLOOKUP(86,OfficialTeamList[Row],OfficialTeamList[Team Number],"ERROR",0)</f>
        <v>0</v>
      </c>
      <c r="B87" s="20" t="str">
        <f>_xlfn.XLOOKUP(CoreValuesResults[[#This Row],[Team Number]],OfficialTeamList[Team Number],OfficialTeamList[Team Name],"",0,)</f>
        <v/>
      </c>
      <c r="C87" s="66">
        <f>_xlfn.XLOOKUP(CoreValuesResults[[#This Row],[Team Number]],InnovationProjectResults[Team Number],InnovationProjectResults[Explore 2 (CV)])</f>
        <v>0</v>
      </c>
      <c r="D87" s="66">
        <f>_xlfn.XLOOKUP(CoreValuesResults[[#This Row],[Team Number]],InnovationProjectResults[Team Number],InnovationProjectResults[Ideate 3 (CV)])</f>
        <v>0</v>
      </c>
      <c r="E87" s="66">
        <f>_xlfn.XLOOKUP(CoreValuesResults[[#This Row],[Team Number]],InnovationProjectResults[Team Number],InnovationProjectResults[Implement 1 (CV)])</f>
        <v>0</v>
      </c>
      <c r="F87" s="66">
        <f>_xlfn.XLOOKUP(CoreValuesResults[[#This Row],[Team Number]],InnovationProjectResults[Team Number],InnovationProjectResults[Communicate 2 (CV)])</f>
        <v>0</v>
      </c>
      <c r="G87" s="66">
        <f>_xlfn.XLOOKUP(CoreValuesResults[[#This Row],[Team Number]],RobotDesignResults[Team Number],RobotDesignResults[Identify 2 (CV)])</f>
        <v>0</v>
      </c>
      <c r="H87" s="66">
        <f>_xlfn.XLOOKUP(CoreValuesResults[[#This Row],[Team Number]],RobotDesignResults[Team Number],RobotDesignResults[Iterate 3 (CV)])</f>
        <v>0</v>
      </c>
      <c r="I87" s="66">
        <f>_xlfn.XLOOKUP(CoreValuesResults[[#This Row],[Team Number]],RobotDesignResults[Team Number],RobotDesignResults[Communicate 1 (CV)])</f>
        <v>0</v>
      </c>
      <c r="J87" s="66">
        <f>_xlfn.XLOOKUP(CoreValuesResults[[#This Row],[Team Number]],RobotDesignResults[Team Number],RobotDesignResults[Communicate 2 (CV)])</f>
        <v>0</v>
      </c>
      <c r="K87" s="12"/>
      <c r="L87" s="12"/>
      <c r="M87" s="12"/>
      <c r="N87" s="12"/>
      <c r="O87" s="12"/>
      <c r="P87" s="12"/>
      <c r="Q87" s="8"/>
      <c r="R87" s="8"/>
      <c r="S87" s="8"/>
      <c r="T87" s="34">
        <f>SUM(CoreValuesResults[[#This Row],[Project CV 1 - EXPLORE]:[Engineering CV 4 - COMMUNINCATE]],CoreValuesResults[[#This Row],[Gracious Professionalism Score]])</f>
        <v>0</v>
      </c>
      <c r="U87" s="21">
        <f>IF(CoreValuesResults[[#This Row],[Team Number]]&gt;0,MIN(_xlfn.RANK.EQ(CoreValuesResults[[#This Row],[Core Values Score]],CoreValuesResults[Core Values Score],0),NumberOfTeams),NumberOfTeams+1)</f>
        <v>9</v>
      </c>
      <c r="V87" s="35"/>
      <c r="W87" s="35"/>
    </row>
    <row r="88" spans="1:23" ht="30" customHeight="1" x14ac:dyDescent="0.25">
      <c r="A88" s="8">
        <f>_xlfn.XLOOKUP(87,OfficialTeamList[Row],OfficialTeamList[Team Number],"ERROR",0)</f>
        <v>0</v>
      </c>
      <c r="B88" s="20" t="str">
        <f>_xlfn.XLOOKUP(CoreValuesResults[[#This Row],[Team Number]],OfficialTeamList[Team Number],OfficialTeamList[Team Name],"",0,)</f>
        <v/>
      </c>
      <c r="C88" s="66">
        <f>_xlfn.XLOOKUP(CoreValuesResults[[#This Row],[Team Number]],InnovationProjectResults[Team Number],InnovationProjectResults[Explore 2 (CV)])</f>
        <v>0</v>
      </c>
      <c r="D88" s="66">
        <f>_xlfn.XLOOKUP(CoreValuesResults[[#This Row],[Team Number]],InnovationProjectResults[Team Number],InnovationProjectResults[Ideate 3 (CV)])</f>
        <v>0</v>
      </c>
      <c r="E88" s="66">
        <f>_xlfn.XLOOKUP(CoreValuesResults[[#This Row],[Team Number]],InnovationProjectResults[Team Number],InnovationProjectResults[Implement 1 (CV)])</f>
        <v>0</v>
      </c>
      <c r="F88" s="66">
        <f>_xlfn.XLOOKUP(CoreValuesResults[[#This Row],[Team Number]],InnovationProjectResults[Team Number],InnovationProjectResults[Communicate 2 (CV)])</f>
        <v>0</v>
      </c>
      <c r="G88" s="66">
        <f>_xlfn.XLOOKUP(CoreValuesResults[[#This Row],[Team Number]],RobotDesignResults[Team Number],RobotDesignResults[Identify 2 (CV)])</f>
        <v>0</v>
      </c>
      <c r="H88" s="66">
        <f>_xlfn.XLOOKUP(CoreValuesResults[[#This Row],[Team Number]],RobotDesignResults[Team Number],RobotDesignResults[Iterate 3 (CV)])</f>
        <v>0</v>
      </c>
      <c r="I88" s="66">
        <f>_xlfn.XLOOKUP(CoreValuesResults[[#This Row],[Team Number]],RobotDesignResults[Team Number],RobotDesignResults[Communicate 1 (CV)])</f>
        <v>0</v>
      </c>
      <c r="J88" s="66">
        <f>_xlfn.XLOOKUP(CoreValuesResults[[#This Row],[Team Number]],RobotDesignResults[Team Number],RobotDesignResults[Communicate 2 (CV)])</f>
        <v>0</v>
      </c>
      <c r="K88" s="12"/>
      <c r="L88" s="12"/>
      <c r="M88" s="12"/>
      <c r="N88" s="12"/>
      <c r="O88" s="12"/>
      <c r="P88" s="12"/>
      <c r="Q88" s="8"/>
      <c r="R88" s="8"/>
      <c r="S88" s="8"/>
      <c r="T88" s="34">
        <f>SUM(CoreValuesResults[[#This Row],[Project CV 1 - EXPLORE]:[Engineering CV 4 - COMMUNINCATE]],CoreValuesResults[[#This Row],[Gracious Professionalism Score]])</f>
        <v>0</v>
      </c>
      <c r="U88" s="21">
        <f>IF(CoreValuesResults[[#This Row],[Team Number]]&gt;0,MIN(_xlfn.RANK.EQ(CoreValuesResults[[#This Row],[Core Values Score]],CoreValuesResults[Core Values Score],0),NumberOfTeams),NumberOfTeams+1)</f>
        <v>9</v>
      </c>
      <c r="V88" s="35"/>
      <c r="W88" s="35"/>
    </row>
    <row r="89" spans="1:23" ht="30" customHeight="1" x14ac:dyDescent="0.25">
      <c r="A89" s="8">
        <f>_xlfn.XLOOKUP(88,OfficialTeamList[Row],OfficialTeamList[Team Number],"ERROR",0)</f>
        <v>0</v>
      </c>
      <c r="B89" s="20" t="str">
        <f>_xlfn.XLOOKUP(CoreValuesResults[[#This Row],[Team Number]],OfficialTeamList[Team Number],OfficialTeamList[Team Name],"",0,)</f>
        <v/>
      </c>
      <c r="C89" s="66">
        <f>_xlfn.XLOOKUP(CoreValuesResults[[#This Row],[Team Number]],InnovationProjectResults[Team Number],InnovationProjectResults[Explore 2 (CV)])</f>
        <v>0</v>
      </c>
      <c r="D89" s="66">
        <f>_xlfn.XLOOKUP(CoreValuesResults[[#This Row],[Team Number]],InnovationProjectResults[Team Number],InnovationProjectResults[Ideate 3 (CV)])</f>
        <v>0</v>
      </c>
      <c r="E89" s="66">
        <f>_xlfn.XLOOKUP(CoreValuesResults[[#This Row],[Team Number]],InnovationProjectResults[Team Number],InnovationProjectResults[Implement 1 (CV)])</f>
        <v>0</v>
      </c>
      <c r="F89" s="66">
        <f>_xlfn.XLOOKUP(CoreValuesResults[[#This Row],[Team Number]],InnovationProjectResults[Team Number],InnovationProjectResults[Communicate 2 (CV)])</f>
        <v>0</v>
      </c>
      <c r="G89" s="66">
        <f>_xlfn.XLOOKUP(CoreValuesResults[[#This Row],[Team Number]],RobotDesignResults[Team Number],RobotDesignResults[Identify 2 (CV)])</f>
        <v>0</v>
      </c>
      <c r="H89" s="66">
        <f>_xlfn.XLOOKUP(CoreValuesResults[[#This Row],[Team Number]],RobotDesignResults[Team Number],RobotDesignResults[Iterate 3 (CV)])</f>
        <v>0</v>
      </c>
      <c r="I89" s="66">
        <f>_xlfn.XLOOKUP(CoreValuesResults[[#This Row],[Team Number]],RobotDesignResults[Team Number],RobotDesignResults[Communicate 1 (CV)])</f>
        <v>0</v>
      </c>
      <c r="J89" s="66">
        <f>_xlfn.XLOOKUP(CoreValuesResults[[#This Row],[Team Number]],RobotDesignResults[Team Number],RobotDesignResults[Communicate 2 (CV)])</f>
        <v>0</v>
      </c>
      <c r="K89" s="12"/>
      <c r="L89" s="12"/>
      <c r="M89" s="12"/>
      <c r="N89" s="12"/>
      <c r="O89" s="12"/>
      <c r="P89" s="12"/>
      <c r="Q89" s="8"/>
      <c r="R89" s="8"/>
      <c r="S89" s="8"/>
      <c r="T89" s="34">
        <f>SUM(CoreValuesResults[[#This Row],[Project CV 1 - EXPLORE]:[Engineering CV 4 - COMMUNINCATE]],CoreValuesResults[[#This Row],[Gracious Professionalism Score]])</f>
        <v>0</v>
      </c>
      <c r="U89" s="21">
        <f>IF(CoreValuesResults[[#This Row],[Team Number]]&gt;0,MIN(_xlfn.RANK.EQ(CoreValuesResults[[#This Row],[Core Values Score]],CoreValuesResults[Core Values Score],0),NumberOfTeams),NumberOfTeams+1)</f>
        <v>9</v>
      </c>
      <c r="V89" s="35"/>
      <c r="W89" s="35"/>
    </row>
    <row r="90" spans="1:23" ht="30" customHeight="1" x14ac:dyDescent="0.25">
      <c r="A90" s="8">
        <f>_xlfn.XLOOKUP(89,OfficialTeamList[Row],OfficialTeamList[Team Number],"ERROR",0)</f>
        <v>0</v>
      </c>
      <c r="B90" s="20" t="str">
        <f>_xlfn.XLOOKUP(CoreValuesResults[[#This Row],[Team Number]],OfficialTeamList[Team Number],OfficialTeamList[Team Name],"",0,)</f>
        <v/>
      </c>
      <c r="C90" s="66">
        <f>_xlfn.XLOOKUP(CoreValuesResults[[#This Row],[Team Number]],InnovationProjectResults[Team Number],InnovationProjectResults[Explore 2 (CV)])</f>
        <v>0</v>
      </c>
      <c r="D90" s="66">
        <f>_xlfn.XLOOKUP(CoreValuesResults[[#This Row],[Team Number]],InnovationProjectResults[Team Number],InnovationProjectResults[Ideate 3 (CV)])</f>
        <v>0</v>
      </c>
      <c r="E90" s="66">
        <f>_xlfn.XLOOKUP(CoreValuesResults[[#This Row],[Team Number]],InnovationProjectResults[Team Number],InnovationProjectResults[Implement 1 (CV)])</f>
        <v>0</v>
      </c>
      <c r="F90" s="66">
        <f>_xlfn.XLOOKUP(CoreValuesResults[[#This Row],[Team Number]],InnovationProjectResults[Team Number],InnovationProjectResults[Communicate 2 (CV)])</f>
        <v>0</v>
      </c>
      <c r="G90" s="66">
        <f>_xlfn.XLOOKUP(CoreValuesResults[[#This Row],[Team Number]],RobotDesignResults[Team Number],RobotDesignResults[Identify 2 (CV)])</f>
        <v>0</v>
      </c>
      <c r="H90" s="66">
        <f>_xlfn.XLOOKUP(CoreValuesResults[[#This Row],[Team Number]],RobotDesignResults[Team Number],RobotDesignResults[Iterate 3 (CV)])</f>
        <v>0</v>
      </c>
      <c r="I90" s="66">
        <f>_xlfn.XLOOKUP(CoreValuesResults[[#This Row],[Team Number]],RobotDesignResults[Team Number],RobotDesignResults[Communicate 1 (CV)])</f>
        <v>0</v>
      </c>
      <c r="J90" s="66">
        <f>_xlfn.XLOOKUP(CoreValuesResults[[#This Row],[Team Number]],RobotDesignResults[Team Number],RobotDesignResults[Communicate 2 (CV)])</f>
        <v>0</v>
      </c>
      <c r="K90" s="12"/>
      <c r="L90" s="12"/>
      <c r="M90" s="12"/>
      <c r="N90" s="12"/>
      <c r="O90" s="12"/>
      <c r="P90" s="12"/>
      <c r="Q90" s="8"/>
      <c r="R90" s="8"/>
      <c r="S90" s="8"/>
      <c r="T90" s="34">
        <f>SUM(CoreValuesResults[[#This Row],[Project CV 1 - EXPLORE]:[Engineering CV 4 - COMMUNINCATE]],CoreValuesResults[[#This Row],[Gracious Professionalism Score]])</f>
        <v>0</v>
      </c>
      <c r="U90" s="21">
        <f>IF(CoreValuesResults[[#This Row],[Team Number]]&gt;0,MIN(_xlfn.RANK.EQ(CoreValuesResults[[#This Row],[Core Values Score]],CoreValuesResults[Core Values Score],0),NumberOfTeams),NumberOfTeams+1)</f>
        <v>9</v>
      </c>
      <c r="V90" s="35"/>
      <c r="W90" s="35"/>
    </row>
    <row r="91" spans="1:23" ht="30" customHeight="1" x14ac:dyDescent="0.25">
      <c r="A91" s="8">
        <f>_xlfn.XLOOKUP(90,OfficialTeamList[Row],OfficialTeamList[Team Number],"ERROR",0)</f>
        <v>0</v>
      </c>
      <c r="B91" s="20" t="str">
        <f>_xlfn.XLOOKUP(CoreValuesResults[[#This Row],[Team Number]],OfficialTeamList[Team Number],OfficialTeamList[Team Name],"",0,)</f>
        <v/>
      </c>
      <c r="C91" s="66">
        <f>_xlfn.XLOOKUP(CoreValuesResults[[#This Row],[Team Number]],InnovationProjectResults[Team Number],InnovationProjectResults[Explore 2 (CV)])</f>
        <v>0</v>
      </c>
      <c r="D91" s="66">
        <f>_xlfn.XLOOKUP(CoreValuesResults[[#This Row],[Team Number]],InnovationProjectResults[Team Number],InnovationProjectResults[Ideate 3 (CV)])</f>
        <v>0</v>
      </c>
      <c r="E91" s="66">
        <f>_xlfn.XLOOKUP(CoreValuesResults[[#This Row],[Team Number]],InnovationProjectResults[Team Number],InnovationProjectResults[Implement 1 (CV)])</f>
        <v>0</v>
      </c>
      <c r="F91" s="66">
        <f>_xlfn.XLOOKUP(CoreValuesResults[[#This Row],[Team Number]],InnovationProjectResults[Team Number],InnovationProjectResults[Communicate 2 (CV)])</f>
        <v>0</v>
      </c>
      <c r="G91" s="66">
        <f>_xlfn.XLOOKUP(CoreValuesResults[[#This Row],[Team Number]],RobotDesignResults[Team Number],RobotDesignResults[Identify 2 (CV)])</f>
        <v>0</v>
      </c>
      <c r="H91" s="66">
        <f>_xlfn.XLOOKUP(CoreValuesResults[[#This Row],[Team Number]],RobotDesignResults[Team Number],RobotDesignResults[Iterate 3 (CV)])</f>
        <v>0</v>
      </c>
      <c r="I91" s="66">
        <f>_xlfn.XLOOKUP(CoreValuesResults[[#This Row],[Team Number]],RobotDesignResults[Team Number],RobotDesignResults[Communicate 1 (CV)])</f>
        <v>0</v>
      </c>
      <c r="J91" s="66">
        <f>_xlfn.XLOOKUP(CoreValuesResults[[#This Row],[Team Number]],RobotDesignResults[Team Number],RobotDesignResults[Communicate 2 (CV)])</f>
        <v>0</v>
      </c>
      <c r="K91" s="12"/>
      <c r="L91" s="12"/>
      <c r="M91" s="12"/>
      <c r="N91" s="12"/>
      <c r="O91" s="12"/>
      <c r="P91" s="12"/>
      <c r="Q91" s="8"/>
      <c r="R91" s="8"/>
      <c r="S91" s="8"/>
      <c r="T91" s="34">
        <f>SUM(CoreValuesResults[[#This Row],[Project CV 1 - EXPLORE]:[Engineering CV 4 - COMMUNINCATE]],CoreValuesResults[[#This Row],[Gracious Professionalism Score]])</f>
        <v>0</v>
      </c>
      <c r="U91" s="21">
        <f>IF(CoreValuesResults[[#This Row],[Team Number]]&gt;0,MIN(_xlfn.RANK.EQ(CoreValuesResults[[#This Row],[Core Values Score]],CoreValuesResults[Core Values Score],0),NumberOfTeams),NumberOfTeams+1)</f>
        <v>9</v>
      </c>
      <c r="V91" s="35"/>
      <c r="W91" s="35"/>
    </row>
    <row r="92" spans="1:23" ht="30" customHeight="1" x14ac:dyDescent="0.25">
      <c r="A92" s="8">
        <f>_xlfn.XLOOKUP(91,OfficialTeamList[Row],OfficialTeamList[Team Number],"ERROR",0)</f>
        <v>0</v>
      </c>
      <c r="B92" s="20" t="str">
        <f>_xlfn.XLOOKUP(CoreValuesResults[[#This Row],[Team Number]],OfficialTeamList[Team Number],OfficialTeamList[Team Name],"",0,)</f>
        <v/>
      </c>
      <c r="C92" s="66">
        <f>_xlfn.XLOOKUP(CoreValuesResults[[#This Row],[Team Number]],InnovationProjectResults[Team Number],InnovationProjectResults[Explore 2 (CV)])</f>
        <v>0</v>
      </c>
      <c r="D92" s="66">
        <f>_xlfn.XLOOKUP(CoreValuesResults[[#This Row],[Team Number]],InnovationProjectResults[Team Number],InnovationProjectResults[Ideate 3 (CV)])</f>
        <v>0</v>
      </c>
      <c r="E92" s="66">
        <f>_xlfn.XLOOKUP(CoreValuesResults[[#This Row],[Team Number]],InnovationProjectResults[Team Number],InnovationProjectResults[Implement 1 (CV)])</f>
        <v>0</v>
      </c>
      <c r="F92" s="66">
        <f>_xlfn.XLOOKUP(CoreValuesResults[[#This Row],[Team Number]],InnovationProjectResults[Team Number],InnovationProjectResults[Communicate 2 (CV)])</f>
        <v>0</v>
      </c>
      <c r="G92" s="66">
        <f>_xlfn.XLOOKUP(CoreValuesResults[[#This Row],[Team Number]],RobotDesignResults[Team Number],RobotDesignResults[Identify 2 (CV)])</f>
        <v>0</v>
      </c>
      <c r="H92" s="66">
        <f>_xlfn.XLOOKUP(CoreValuesResults[[#This Row],[Team Number]],RobotDesignResults[Team Number],RobotDesignResults[Iterate 3 (CV)])</f>
        <v>0</v>
      </c>
      <c r="I92" s="66">
        <f>_xlfn.XLOOKUP(CoreValuesResults[[#This Row],[Team Number]],RobotDesignResults[Team Number],RobotDesignResults[Communicate 1 (CV)])</f>
        <v>0</v>
      </c>
      <c r="J92" s="66">
        <f>_xlfn.XLOOKUP(CoreValuesResults[[#This Row],[Team Number]],RobotDesignResults[Team Number],RobotDesignResults[Communicate 2 (CV)])</f>
        <v>0</v>
      </c>
      <c r="K92" s="12"/>
      <c r="L92" s="12"/>
      <c r="M92" s="12"/>
      <c r="N92" s="12"/>
      <c r="O92" s="12"/>
      <c r="P92" s="12"/>
      <c r="Q92" s="8"/>
      <c r="R92" s="8"/>
      <c r="S92" s="8"/>
      <c r="T92" s="34">
        <f>SUM(CoreValuesResults[[#This Row],[Project CV 1 - EXPLORE]:[Engineering CV 4 - COMMUNINCATE]],CoreValuesResults[[#This Row],[Gracious Professionalism Score]])</f>
        <v>0</v>
      </c>
      <c r="U92" s="21">
        <f>IF(CoreValuesResults[[#This Row],[Team Number]]&gt;0,MIN(_xlfn.RANK.EQ(CoreValuesResults[[#This Row],[Core Values Score]],CoreValuesResults[Core Values Score],0),NumberOfTeams),NumberOfTeams+1)</f>
        <v>9</v>
      </c>
      <c r="V92" s="35"/>
      <c r="W92" s="35"/>
    </row>
    <row r="93" spans="1:23" ht="30" customHeight="1" x14ac:dyDescent="0.25">
      <c r="A93" s="8">
        <f>_xlfn.XLOOKUP(92,OfficialTeamList[Row],OfficialTeamList[Team Number],"ERROR",0)</f>
        <v>0</v>
      </c>
      <c r="B93" s="20" t="str">
        <f>_xlfn.XLOOKUP(CoreValuesResults[[#This Row],[Team Number]],OfficialTeamList[Team Number],OfficialTeamList[Team Name],"",0,)</f>
        <v/>
      </c>
      <c r="C93" s="66">
        <f>_xlfn.XLOOKUP(CoreValuesResults[[#This Row],[Team Number]],InnovationProjectResults[Team Number],InnovationProjectResults[Explore 2 (CV)])</f>
        <v>0</v>
      </c>
      <c r="D93" s="66">
        <f>_xlfn.XLOOKUP(CoreValuesResults[[#This Row],[Team Number]],InnovationProjectResults[Team Number],InnovationProjectResults[Ideate 3 (CV)])</f>
        <v>0</v>
      </c>
      <c r="E93" s="66">
        <f>_xlfn.XLOOKUP(CoreValuesResults[[#This Row],[Team Number]],InnovationProjectResults[Team Number],InnovationProjectResults[Implement 1 (CV)])</f>
        <v>0</v>
      </c>
      <c r="F93" s="66">
        <f>_xlfn.XLOOKUP(CoreValuesResults[[#This Row],[Team Number]],InnovationProjectResults[Team Number],InnovationProjectResults[Communicate 2 (CV)])</f>
        <v>0</v>
      </c>
      <c r="G93" s="66">
        <f>_xlfn.XLOOKUP(CoreValuesResults[[#This Row],[Team Number]],RobotDesignResults[Team Number],RobotDesignResults[Identify 2 (CV)])</f>
        <v>0</v>
      </c>
      <c r="H93" s="66">
        <f>_xlfn.XLOOKUP(CoreValuesResults[[#This Row],[Team Number]],RobotDesignResults[Team Number],RobotDesignResults[Iterate 3 (CV)])</f>
        <v>0</v>
      </c>
      <c r="I93" s="66">
        <f>_xlfn.XLOOKUP(CoreValuesResults[[#This Row],[Team Number]],RobotDesignResults[Team Number],RobotDesignResults[Communicate 1 (CV)])</f>
        <v>0</v>
      </c>
      <c r="J93" s="66">
        <f>_xlfn.XLOOKUP(CoreValuesResults[[#This Row],[Team Number]],RobotDesignResults[Team Number],RobotDesignResults[Communicate 2 (CV)])</f>
        <v>0</v>
      </c>
      <c r="K93" s="12"/>
      <c r="L93" s="12"/>
      <c r="M93" s="12"/>
      <c r="N93" s="12"/>
      <c r="O93" s="12"/>
      <c r="P93" s="12"/>
      <c r="Q93" s="8"/>
      <c r="R93" s="8"/>
      <c r="S93" s="8"/>
      <c r="T93" s="34">
        <f>SUM(CoreValuesResults[[#This Row],[Project CV 1 - EXPLORE]:[Engineering CV 4 - COMMUNINCATE]],CoreValuesResults[[#This Row],[Gracious Professionalism Score]])</f>
        <v>0</v>
      </c>
      <c r="U93" s="21">
        <f>IF(CoreValuesResults[[#This Row],[Team Number]]&gt;0,MIN(_xlfn.RANK.EQ(CoreValuesResults[[#This Row],[Core Values Score]],CoreValuesResults[Core Values Score],0),NumberOfTeams),NumberOfTeams+1)</f>
        <v>9</v>
      </c>
      <c r="V93" s="35"/>
      <c r="W93" s="35"/>
    </row>
    <row r="94" spans="1:23" ht="30" customHeight="1" x14ac:dyDescent="0.25">
      <c r="A94" s="8">
        <f>_xlfn.XLOOKUP(93,OfficialTeamList[Row],OfficialTeamList[Team Number],"ERROR",0)</f>
        <v>0</v>
      </c>
      <c r="B94" s="20" t="str">
        <f>_xlfn.XLOOKUP(CoreValuesResults[[#This Row],[Team Number]],OfficialTeamList[Team Number],OfficialTeamList[Team Name],"",0,)</f>
        <v/>
      </c>
      <c r="C94" s="66">
        <f>_xlfn.XLOOKUP(CoreValuesResults[[#This Row],[Team Number]],InnovationProjectResults[Team Number],InnovationProjectResults[Explore 2 (CV)])</f>
        <v>0</v>
      </c>
      <c r="D94" s="66">
        <f>_xlfn.XLOOKUP(CoreValuesResults[[#This Row],[Team Number]],InnovationProjectResults[Team Number],InnovationProjectResults[Ideate 3 (CV)])</f>
        <v>0</v>
      </c>
      <c r="E94" s="66">
        <f>_xlfn.XLOOKUP(CoreValuesResults[[#This Row],[Team Number]],InnovationProjectResults[Team Number],InnovationProjectResults[Implement 1 (CV)])</f>
        <v>0</v>
      </c>
      <c r="F94" s="66">
        <f>_xlfn.XLOOKUP(CoreValuesResults[[#This Row],[Team Number]],InnovationProjectResults[Team Number],InnovationProjectResults[Communicate 2 (CV)])</f>
        <v>0</v>
      </c>
      <c r="G94" s="66">
        <f>_xlfn.XLOOKUP(CoreValuesResults[[#This Row],[Team Number]],RobotDesignResults[Team Number],RobotDesignResults[Identify 2 (CV)])</f>
        <v>0</v>
      </c>
      <c r="H94" s="66">
        <f>_xlfn.XLOOKUP(CoreValuesResults[[#This Row],[Team Number]],RobotDesignResults[Team Number],RobotDesignResults[Iterate 3 (CV)])</f>
        <v>0</v>
      </c>
      <c r="I94" s="66">
        <f>_xlfn.XLOOKUP(CoreValuesResults[[#This Row],[Team Number]],RobotDesignResults[Team Number],RobotDesignResults[Communicate 1 (CV)])</f>
        <v>0</v>
      </c>
      <c r="J94" s="66">
        <f>_xlfn.XLOOKUP(CoreValuesResults[[#This Row],[Team Number]],RobotDesignResults[Team Number],RobotDesignResults[Communicate 2 (CV)])</f>
        <v>0</v>
      </c>
      <c r="K94" s="12"/>
      <c r="L94" s="12"/>
      <c r="M94" s="12"/>
      <c r="N94" s="12"/>
      <c r="O94" s="12"/>
      <c r="P94" s="12"/>
      <c r="Q94" s="8"/>
      <c r="R94" s="8"/>
      <c r="S94" s="8"/>
      <c r="T94" s="34">
        <f>SUM(CoreValuesResults[[#This Row],[Project CV 1 - EXPLORE]:[Engineering CV 4 - COMMUNINCATE]],CoreValuesResults[[#This Row],[Gracious Professionalism Score]])</f>
        <v>0</v>
      </c>
      <c r="U94" s="21">
        <f>IF(CoreValuesResults[[#This Row],[Team Number]]&gt;0,MIN(_xlfn.RANK.EQ(CoreValuesResults[[#This Row],[Core Values Score]],CoreValuesResults[Core Values Score],0),NumberOfTeams),NumberOfTeams+1)</f>
        <v>9</v>
      </c>
      <c r="V94" s="35"/>
      <c r="W94" s="35"/>
    </row>
    <row r="95" spans="1:23" ht="30" customHeight="1" x14ac:dyDescent="0.25">
      <c r="A95" s="8">
        <f>_xlfn.XLOOKUP(94,OfficialTeamList[Row],OfficialTeamList[Team Number],"ERROR",0)</f>
        <v>0</v>
      </c>
      <c r="B95" s="20" t="str">
        <f>_xlfn.XLOOKUP(CoreValuesResults[[#This Row],[Team Number]],OfficialTeamList[Team Number],OfficialTeamList[Team Name],"",0,)</f>
        <v/>
      </c>
      <c r="C95" s="66">
        <f>_xlfn.XLOOKUP(CoreValuesResults[[#This Row],[Team Number]],InnovationProjectResults[Team Number],InnovationProjectResults[Explore 2 (CV)])</f>
        <v>0</v>
      </c>
      <c r="D95" s="66">
        <f>_xlfn.XLOOKUP(CoreValuesResults[[#This Row],[Team Number]],InnovationProjectResults[Team Number],InnovationProjectResults[Ideate 3 (CV)])</f>
        <v>0</v>
      </c>
      <c r="E95" s="66">
        <f>_xlfn.XLOOKUP(CoreValuesResults[[#This Row],[Team Number]],InnovationProjectResults[Team Number],InnovationProjectResults[Implement 1 (CV)])</f>
        <v>0</v>
      </c>
      <c r="F95" s="66">
        <f>_xlfn.XLOOKUP(CoreValuesResults[[#This Row],[Team Number]],InnovationProjectResults[Team Number],InnovationProjectResults[Communicate 2 (CV)])</f>
        <v>0</v>
      </c>
      <c r="G95" s="66">
        <f>_xlfn.XLOOKUP(CoreValuesResults[[#This Row],[Team Number]],RobotDesignResults[Team Number],RobotDesignResults[Identify 2 (CV)])</f>
        <v>0</v>
      </c>
      <c r="H95" s="66">
        <f>_xlfn.XLOOKUP(CoreValuesResults[[#This Row],[Team Number]],RobotDesignResults[Team Number],RobotDesignResults[Iterate 3 (CV)])</f>
        <v>0</v>
      </c>
      <c r="I95" s="66">
        <f>_xlfn.XLOOKUP(CoreValuesResults[[#This Row],[Team Number]],RobotDesignResults[Team Number],RobotDesignResults[Communicate 1 (CV)])</f>
        <v>0</v>
      </c>
      <c r="J95" s="66">
        <f>_xlfn.XLOOKUP(CoreValuesResults[[#This Row],[Team Number]],RobotDesignResults[Team Number],RobotDesignResults[Communicate 2 (CV)])</f>
        <v>0</v>
      </c>
      <c r="K95" s="12"/>
      <c r="L95" s="12"/>
      <c r="M95" s="12"/>
      <c r="N95" s="12"/>
      <c r="O95" s="12"/>
      <c r="P95" s="12"/>
      <c r="Q95" s="8"/>
      <c r="R95" s="8"/>
      <c r="S95" s="8"/>
      <c r="T95" s="34">
        <f>SUM(CoreValuesResults[[#This Row],[Project CV 1 - EXPLORE]:[Engineering CV 4 - COMMUNINCATE]],CoreValuesResults[[#This Row],[Gracious Professionalism Score]])</f>
        <v>0</v>
      </c>
      <c r="U95" s="21">
        <f>IF(CoreValuesResults[[#This Row],[Team Number]]&gt;0,MIN(_xlfn.RANK.EQ(CoreValuesResults[[#This Row],[Core Values Score]],CoreValuesResults[Core Values Score],0),NumberOfTeams),NumberOfTeams+1)</f>
        <v>9</v>
      </c>
      <c r="V95" s="35"/>
      <c r="W95" s="35"/>
    </row>
    <row r="96" spans="1:23" ht="30" customHeight="1" x14ac:dyDescent="0.25">
      <c r="A96" s="8">
        <f>_xlfn.XLOOKUP(95,OfficialTeamList[Row],OfficialTeamList[Team Number],"ERROR",0)</f>
        <v>0</v>
      </c>
      <c r="B96" s="20" t="str">
        <f>_xlfn.XLOOKUP(CoreValuesResults[[#This Row],[Team Number]],OfficialTeamList[Team Number],OfficialTeamList[Team Name],"",0,)</f>
        <v/>
      </c>
      <c r="C96" s="66">
        <f>_xlfn.XLOOKUP(CoreValuesResults[[#This Row],[Team Number]],InnovationProjectResults[Team Number],InnovationProjectResults[Explore 2 (CV)])</f>
        <v>0</v>
      </c>
      <c r="D96" s="66">
        <f>_xlfn.XLOOKUP(CoreValuesResults[[#This Row],[Team Number]],InnovationProjectResults[Team Number],InnovationProjectResults[Ideate 3 (CV)])</f>
        <v>0</v>
      </c>
      <c r="E96" s="66">
        <f>_xlfn.XLOOKUP(CoreValuesResults[[#This Row],[Team Number]],InnovationProjectResults[Team Number],InnovationProjectResults[Implement 1 (CV)])</f>
        <v>0</v>
      </c>
      <c r="F96" s="66">
        <f>_xlfn.XLOOKUP(CoreValuesResults[[#This Row],[Team Number]],InnovationProjectResults[Team Number],InnovationProjectResults[Communicate 2 (CV)])</f>
        <v>0</v>
      </c>
      <c r="G96" s="66">
        <f>_xlfn.XLOOKUP(CoreValuesResults[[#This Row],[Team Number]],RobotDesignResults[Team Number],RobotDesignResults[Identify 2 (CV)])</f>
        <v>0</v>
      </c>
      <c r="H96" s="66">
        <f>_xlfn.XLOOKUP(CoreValuesResults[[#This Row],[Team Number]],RobotDesignResults[Team Number],RobotDesignResults[Iterate 3 (CV)])</f>
        <v>0</v>
      </c>
      <c r="I96" s="66">
        <f>_xlfn.XLOOKUP(CoreValuesResults[[#This Row],[Team Number]],RobotDesignResults[Team Number],RobotDesignResults[Communicate 1 (CV)])</f>
        <v>0</v>
      </c>
      <c r="J96" s="66">
        <f>_xlfn.XLOOKUP(CoreValuesResults[[#This Row],[Team Number]],RobotDesignResults[Team Number],RobotDesignResults[Communicate 2 (CV)])</f>
        <v>0</v>
      </c>
      <c r="K96" s="12"/>
      <c r="L96" s="12"/>
      <c r="M96" s="12"/>
      <c r="N96" s="12"/>
      <c r="O96" s="12"/>
      <c r="P96" s="12"/>
      <c r="Q96" s="8"/>
      <c r="R96" s="8"/>
      <c r="S96" s="8"/>
      <c r="T96" s="34">
        <f>SUM(CoreValuesResults[[#This Row],[Project CV 1 - EXPLORE]:[Engineering CV 4 - COMMUNINCATE]],CoreValuesResults[[#This Row],[Gracious Professionalism Score]])</f>
        <v>0</v>
      </c>
      <c r="U96" s="21">
        <f>IF(CoreValuesResults[[#This Row],[Team Number]]&gt;0,MIN(_xlfn.RANK.EQ(CoreValuesResults[[#This Row],[Core Values Score]],CoreValuesResults[Core Values Score],0),NumberOfTeams),NumberOfTeams+1)</f>
        <v>9</v>
      </c>
      <c r="V96" s="35"/>
      <c r="W96" s="35"/>
    </row>
    <row r="97" spans="1:23" ht="30" customHeight="1" x14ac:dyDescent="0.25">
      <c r="A97" s="8">
        <f>_xlfn.XLOOKUP(96,OfficialTeamList[Row],OfficialTeamList[Team Number],"ERROR",0)</f>
        <v>0</v>
      </c>
      <c r="B97" s="20" t="str">
        <f>_xlfn.XLOOKUP(CoreValuesResults[[#This Row],[Team Number]],OfficialTeamList[Team Number],OfficialTeamList[Team Name],"",0,)</f>
        <v/>
      </c>
      <c r="C97" s="66">
        <f>_xlfn.XLOOKUP(CoreValuesResults[[#This Row],[Team Number]],InnovationProjectResults[Team Number],InnovationProjectResults[Explore 2 (CV)])</f>
        <v>0</v>
      </c>
      <c r="D97" s="66">
        <f>_xlfn.XLOOKUP(CoreValuesResults[[#This Row],[Team Number]],InnovationProjectResults[Team Number],InnovationProjectResults[Ideate 3 (CV)])</f>
        <v>0</v>
      </c>
      <c r="E97" s="66">
        <f>_xlfn.XLOOKUP(CoreValuesResults[[#This Row],[Team Number]],InnovationProjectResults[Team Number],InnovationProjectResults[Implement 1 (CV)])</f>
        <v>0</v>
      </c>
      <c r="F97" s="66">
        <f>_xlfn.XLOOKUP(CoreValuesResults[[#This Row],[Team Number]],InnovationProjectResults[Team Number],InnovationProjectResults[Communicate 2 (CV)])</f>
        <v>0</v>
      </c>
      <c r="G97" s="66">
        <f>_xlfn.XLOOKUP(CoreValuesResults[[#This Row],[Team Number]],RobotDesignResults[Team Number],RobotDesignResults[Identify 2 (CV)])</f>
        <v>0</v>
      </c>
      <c r="H97" s="66">
        <f>_xlfn.XLOOKUP(CoreValuesResults[[#This Row],[Team Number]],RobotDesignResults[Team Number],RobotDesignResults[Iterate 3 (CV)])</f>
        <v>0</v>
      </c>
      <c r="I97" s="66">
        <f>_xlfn.XLOOKUP(CoreValuesResults[[#This Row],[Team Number]],RobotDesignResults[Team Number],RobotDesignResults[Communicate 1 (CV)])</f>
        <v>0</v>
      </c>
      <c r="J97" s="66">
        <f>_xlfn.XLOOKUP(CoreValuesResults[[#This Row],[Team Number]],RobotDesignResults[Team Number],RobotDesignResults[Communicate 2 (CV)])</f>
        <v>0</v>
      </c>
      <c r="K97" s="12"/>
      <c r="L97" s="12"/>
      <c r="M97" s="12"/>
      <c r="N97" s="12"/>
      <c r="O97" s="12"/>
      <c r="P97" s="12"/>
      <c r="Q97" s="8"/>
      <c r="R97" s="8"/>
      <c r="S97" s="8"/>
      <c r="T97" s="34">
        <f>SUM(CoreValuesResults[[#This Row],[Project CV 1 - EXPLORE]:[Engineering CV 4 - COMMUNINCATE]],CoreValuesResults[[#This Row],[Gracious Professionalism Score]])</f>
        <v>0</v>
      </c>
      <c r="U97" s="21">
        <f>IF(CoreValuesResults[[#This Row],[Team Number]]&gt;0,MIN(_xlfn.RANK.EQ(CoreValuesResults[[#This Row],[Core Values Score]],CoreValuesResults[Core Values Score],0),NumberOfTeams),NumberOfTeams+1)</f>
        <v>9</v>
      </c>
      <c r="V97" s="35"/>
      <c r="W97" s="35"/>
    </row>
    <row r="98" spans="1:23" ht="30" customHeight="1" x14ac:dyDescent="0.25">
      <c r="A98" s="8">
        <f>_xlfn.XLOOKUP(97,OfficialTeamList[Row],OfficialTeamList[Team Number],"ERROR",0)</f>
        <v>0</v>
      </c>
      <c r="B98" s="20" t="str">
        <f>_xlfn.XLOOKUP(CoreValuesResults[[#This Row],[Team Number]],OfficialTeamList[Team Number],OfficialTeamList[Team Name],"",0,)</f>
        <v/>
      </c>
      <c r="C98" s="66">
        <f>_xlfn.XLOOKUP(CoreValuesResults[[#This Row],[Team Number]],InnovationProjectResults[Team Number],InnovationProjectResults[Explore 2 (CV)])</f>
        <v>0</v>
      </c>
      <c r="D98" s="66">
        <f>_xlfn.XLOOKUP(CoreValuesResults[[#This Row],[Team Number]],InnovationProjectResults[Team Number],InnovationProjectResults[Ideate 3 (CV)])</f>
        <v>0</v>
      </c>
      <c r="E98" s="66">
        <f>_xlfn.XLOOKUP(CoreValuesResults[[#This Row],[Team Number]],InnovationProjectResults[Team Number],InnovationProjectResults[Implement 1 (CV)])</f>
        <v>0</v>
      </c>
      <c r="F98" s="66">
        <f>_xlfn.XLOOKUP(CoreValuesResults[[#This Row],[Team Number]],InnovationProjectResults[Team Number],InnovationProjectResults[Communicate 2 (CV)])</f>
        <v>0</v>
      </c>
      <c r="G98" s="66">
        <f>_xlfn.XLOOKUP(CoreValuesResults[[#This Row],[Team Number]],RobotDesignResults[Team Number],RobotDesignResults[Identify 2 (CV)])</f>
        <v>0</v>
      </c>
      <c r="H98" s="66">
        <f>_xlfn.XLOOKUP(CoreValuesResults[[#This Row],[Team Number]],RobotDesignResults[Team Number],RobotDesignResults[Iterate 3 (CV)])</f>
        <v>0</v>
      </c>
      <c r="I98" s="66">
        <f>_xlfn.XLOOKUP(CoreValuesResults[[#This Row],[Team Number]],RobotDesignResults[Team Number],RobotDesignResults[Communicate 1 (CV)])</f>
        <v>0</v>
      </c>
      <c r="J98" s="66">
        <f>_xlfn.XLOOKUP(CoreValuesResults[[#This Row],[Team Number]],RobotDesignResults[Team Number],RobotDesignResults[Communicate 2 (CV)])</f>
        <v>0</v>
      </c>
      <c r="K98" s="12"/>
      <c r="L98" s="12"/>
      <c r="M98" s="12"/>
      <c r="N98" s="12"/>
      <c r="O98" s="12"/>
      <c r="P98" s="12"/>
      <c r="Q98" s="8"/>
      <c r="R98" s="8"/>
      <c r="S98" s="8"/>
      <c r="T98" s="34">
        <f>SUM(CoreValuesResults[[#This Row],[Project CV 1 - EXPLORE]:[Engineering CV 4 - COMMUNINCATE]],CoreValuesResults[[#This Row],[Gracious Professionalism Score]])</f>
        <v>0</v>
      </c>
      <c r="U98" s="21">
        <f>IF(CoreValuesResults[[#This Row],[Team Number]]&gt;0,MIN(_xlfn.RANK.EQ(CoreValuesResults[[#This Row],[Core Values Score]],CoreValuesResults[Core Values Score],0),NumberOfTeams),NumberOfTeams+1)</f>
        <v>9</v>
      </c>
      <c r="V98" s="35"/>
      <c r="W98" s="35"/>
    </row>
    <row r="99" spans="1:23" ht="30" customHeight="1" x14ac:dyDescent="0.25">
      <c r="A99" s="8">
        <f>_xlfn.XLOOKUP(98,OfficialTeamList[Row],OfficialTeamList[Team Number],"ERROR",0)</f>
        <v>0</v>
      </c>
      <c r="B99" s="20" t="str">
        <f>_xlfn.XLOOKUP(CoreValuesResults[[#This Row],[Team Number]],OfficialTeamList[Team Number],OfficialTeamList[Team Name],"",0,)</f>
        <v/>
      </c>
      <c r="C99" s="66">
        <f>_xlfn.XLOOKUP(CoreValuesResults[[#This Row],[Team Number]],InnovationProjectResults[Team Number],InnovationProjectResults[Explore 2 (CV)])</f>
        <v>0</v>
      </c>
      <c r="D99" s="66">
        <f>_xlfn.XLOOKUP(CoreValuesResults[[#This Row],[Team Number]],InnovationProjectResults[Team Number],InnovationProjectResults[Ideate 3 (CV)])</f>
        <v>0</v>
      </c>
      <c r="E99" s="66">
        <f>_xlfn.XLOOKUP(CoreValuesResults[[#This Row],[Team Number]],InnovationProjectResults[Team Number],InnovationProjectResults[Implement 1 (CV)])</f>
        <v>0</v>
      </c>
      <c r="F99" s="66">
        <f>_xlfn.XLOOKUP(CoreValuesResults[[#This Row],[Team Number]],InnovationProjectResults[Team Number],InnovationProjectResults[Communicate 2 (CV)])</f>
        <v>0</v>
      </c>
      <c r="G99" s="66">
        <f>_xlfn.XLOOKUP(CoreValuesResults[[#This Row],[Team Number]],RobotDesignResults[Team Number],RobotDesignResults[Identify 2 (CV)])</f>
        <v>0</v>
      </c>
      <c r="H99" s="66">
        <f>_xlfn.XLOOKUP(CoreValuesResults[[#This Row],[Team Number]],RobotDesignResults[Team Number],RobotDesignResults[Iterate 3 (CV)])</f>
        <v>0</v>
      </c>
      <c r="I99" s="66">
        <f>_xlfn.XLOOKUP(CoreValuesResults[[#This Row],[Team Number]],RobotDesignResults[Team Number],RobotDesignResults[Communicate 1 (CV)])</f>
        <v>0</v>
      </c>
      <c r="J99" s="66">
        <f>_xlfn.XLOOKUP(CoreValuesResults[[#This Row],[Team Number]],RobotDesignResults[Team Number],RobotDesignResults[Communicate 2 (CV)])</f>
        <v>0</v>
      </c>
      <c r="K99" s="12"/>
      <c r="L99" s="12"/>
      <c r="M99" s="12"/>
      <c r="N99" s="12"/>
      <c r="O99" s="12"/>
      <c r="P99" s="12"/>
      <c r="Q99" s="8"/>
      <c r="R99" s="8"/>
      <c r="S99" s="8"/>
      <c r="T99" s="34">
        <f>SUM(CoreValuesResults[[#This Row],[Project CV 1 - EXPLORE]:[Engineering CV 4 - COMMUNINCATE]],CoreValuesResults[[#This Row],[Gracious Professionalism Score]])</f>
        <v>0</v>
      </c>
      <c r="U99" s="21">
        <f>IF(CoreValuesResults[[#This Row],[Team Number]]&gt;0,MIN(_xlfn.RANK.EQ(CoreValuesResults[[#This Row],[Core Values Score]],CoreValuesResults[Core Values Score],0),NumberOfTeams),NumberOfTeams+1)</f>
        <v>9</v>
      </c>
      <c r="V99" s="35"/>
      <c r="W99" s="35"/>
    </row>
    <row r="100" spans="1:23" ht="30" customHeight="1" x14ac:dyDescent="0.25">
      <c r="A100" s="8">
        <f>_xlfn.XLOOKUP(99,OfficialTeamList[Row],OfficialTeamList[Team Number],"ERROR",0)</f>
        <v>0</v>
      </c>
      <c r="B100" s="20" t="str">
        <f>_xlfn.XLOOKUP(CoreValuesResults[[#This Row],[Team Number]],OfficialTeamList[Team Number],OfficialTeamList[Team Name],"",0,)</f>
        <v/>
      </c>
      <c r="C100" s="66">
        <f>_xlfn.XLOOKUP(CoreValuesResults[[#This Row],[Team Number]],InnovationProjectResults[Team Number],InnovationProjectResults[Explore 2 (CV)])</f>
        <v>0</v>
      </c>
      <c r="D100" s="66">
        <f>_xlfn.XLOOKUP(CoreValuesResults[[#This Row],[Team Number]],InnovationProjectResults[Team Number],InnovationProjectResults[Ideate 3 (CV)])</f>
        <v>0</v>
      </c>
      <c r="E100" s="66">
        <f>_xlfn.XLOOKUP(CoreValuesResults[[#This Row],[Team Number]],InnovationProjectResults[Team Number],InnovationProjectResults[Implement 1 (CV)])</f>
        <v>0</v>
      </c>
      <c r="F100" s="66">
        <f>_xlfn.XLOOKUP(CoreValuesResults[[#This Row],[Team Number]],InnovationProjectResults[Team Number],InnovationProjectResults[Communicate 2 (CV)])</f>
        <v>0</v>
      </c>
      <c r="G100" s="66">
        <f>_xlfn.XLOOKUP(CoreValuesResults[[#This Row],[Team Number]],RobotDesignResults[Team Number],RobotDesignResults[Identify 2 (CV)])</f>
        <v>0</v>
      </c>
      <c r="H100" s="66">
        <f>_xlfn.XLOOKUP(CoreValuesResults[[#This Row],[Team Number]],RobotDesignResults[Team Number],RobotDesignResults[Iterate 3 (CV)])</f>
        <v>0</v>
      </c>
      <c r="I100" s="66">
        <f>_xlfn.XLOOKUP(CoreValuesResults[[#This Row],[Team Number]],RobotDesignResults[Team Number],RobotDesignResults[Communicate 1 (CV)])</f>
        <v>0</v>
      </c>
      <c r="J100" s="66">
        <f>_xlfn.XLOOKUP(CoreValuesResults[[#This Row],[Team Number]],RobotDesignResults[Team Number],RobotDesignResults[Communicate 2 (CV)])</f>
        <v>0</v>
      </c>
      <c r="K100" s="12"/>
      <c r="L100" s="12"/>
      <c r="M100" s="12"/>
      <c r="N100" s="12"/>
      <c r="O100" s="12"/>
      <c r="P100" s="12"/>
      <c r="Q100" s="8"/>
      <c r="R100" s="8"/>
      <c r="S100" s="8"/>
      <c r="T100" s="34">
        <f>SUM(CoreValuesResults[[#This Row],[Project CV 1 - EXPLORE]:[Engineering CV 4 - COMMUNINCATE]],CoreValuesResults[[#This Row],[Gracious Professionalism Score]])</f>
        <v>0</v>
      </c>
      <c r="U100" s="21">
        <f>IF(CoreValuesResults[[#This Row],[Team Number]]&gt;0,MIN(_xlfn.RANK.EQ(CoreValuesResults[[#This Row],[Core Values Score]],CoreValuesResults[Core Values Score],0),NumberOfTeams),NumberOfTeams+1)</f>
        <v>9</v>
      </c>
      <c r="V100" s="35"/>
      <c r="W100" s="35"/>
    </row>
    <row r="101" spans="1:23" ht="30" customHeight="1" x14ac:dyDescent="0.25">
      <c r="A101" s="8">
        <f>_xlfn.XLOOKUP(100,OfficialTeamList[Row],OfficialTeamList[Team Number],"ERROR",0)</f>
        <v>0</v>
      </c>
      <c r="B101" s="20" t="str">
        <f>_xlfn.XLOOKUP(CoreValuesResults[[#This Row],[Team Number]],OfficialTeamList[Team Number],OfficialTeamList[Team Name],"",0,)</f>
        <v/>
      </c>
      <c r="C101" s="66">
        <f>_xlfn.XLOOKUP(CoreValuesResults[[#This Row],[Team Number]],InnovationProjectResults[Team Number],InnovationProjectResults[Explore 2 (CV)])</f>
        <v>0</v>
      </c>
      <c r="D101" s="66">
        <f>_xlfn.XLOOKUP(CoreValuesResults[[#This Row],[Team Number]],InnovationProjectResults[Team Number],InnovationProjectResults[Ideate 3 (CV)])</f>
        <v>0</v>
      </c>
      <c r="E101" s="66">
        <f>_xlfn.XLOOKUP(CoreValuesResults[[#This Row],[Team Number]],InnovationProjectResults[Team Number],InnovationProjectResults[Implement 1 (CV)])</f>
        <v>0</v>
      </c>
      <c r="F101" s="66">
        <f>_xlfn.XLOOKUP(CoreValuesResults[[#This Row],[Team Number]],InnovationProjectResults[Team Number],InnovationProjectResults[Communicate 2 (CV)])</f>
        <v>0</v>
      </c>
      <c r="G101" s="66">
        <f>_xlfn.XLOOKUP(CoreValuesResults[[#This Row],[Team Number]],RobotDesignResults[Team Number],RobotDesignResults[Identify 2 (CV)])</f>
        <v>0</v>
      </c>
      <c r="H101" s="66">
        <f>_xlfn.XLOOKUP(CoreValuesResults[[#This Row],[Team Number]],RobotDesignResults[Team Number],RobotDesignResults[Iterate 3 (CV)])</f>
        <v>0</v>
      </c>
      <c r="I101" s="66">
        <f>_xlfn.XLOOKUP(CoreValuesResults[[#This Row],[Team Number]],RobotDesignResults[Team Number],RobotDesignResults[Communicate 1 (CV)])</f>
        <v>0</v>
      </c>
      <c r="J101" s="66">
        <f>_xlfn.XLOOKUP(CoreValuesResults[[#This Row],[Team Number]],RobotDesignResults[Team Number],RobotDesignResults[Communicate 2 (CV)])</f>
        <v>0</v>
      </c>
      <c r="K101" s="12"/>
      <c r="L101" s="12"/>
      <c r="M101" s="12"/>
      <c r="N101" s="12"/>
      <c r="O101" s="12"/>
      <c r="P101" s="12"/>
      <c r="Q101" s="8"/>
      <c r="R101" s="8"/>
      <c r="S101" s="8"/>
      <c r="T101" s="34">
        <f>SUM(CoreValuesResults[[#This Row],[Project CV 1 - EXPLORE]:[Engineering CV 4 - COMMUNINCATE]],CoreValuesResults[[#This Row],[Gracious Professionalism Score]])</f>
        <v>0</v>
      </c>
      <c r="U101" s="21">
        <f>IF(CoreValuesResults[[#This Row],[Team Number]]&gt;0,MIN(_xlfn.RANK.EQ(CoreValuesResults[[#This Row],[Core Values Score]],CoreValuesResults[Core Values Score],0),NumberOfTeams),NumberOfTeams+1)</f>
        <v>9</v>
      </c>
      <c r="V101" s="35"/>
      <c r="W101" s="35"/>
    </row>
    <row r="102" spans="1:23" ht="30" customHeight="1" x14ac:dyDescent="0.25">
      <c r="A102" s="8">
        <f>_xlfn.XLOOKUP(101,OfficialTeamList[Row],OfficialTeamList[Team Number],"ERROR",0)</f>
        <v>0</v>
      </c>
      <c r="B102" s="20" t="str">
        <f>_xlfn.XLOOKUP(CoreValuesResults[[#This Row],[Team Number]],OfficialTeamList[Team Number],OfficialTeamList[Team Name],"",0,)</f>
        <v/>
      </c>
      <c r="C102" s="66">
        <f>_xlfn.XLOOKUP(CoreValuesResults[[#This Row],[Team Number]],InnovationProjectResults[Team Number],InnovationProjectResults[Explore 2 (CV)])</f>
        <v>0</v>
      </c>
      <c r="D102" s="66">
        <f>_xlfn.XLOOKUP(CoreValuesResults[[#This Row],[Team Number]],InnovationProjectResults[Team Number],InnovationProjectResults[Ideate 3 (CV)])</f>
        <v>0</v>
      </c>
      <c r="E102" s="66">
        <f>_xlfn.XLOOKUP(CoreValuesResults[[#This Row],[Team Number]],InnovationProjectResults[Team Number],InnovationProjectResults[Implement 1 (CV)])</f>
        <v>0</v>
      </c>
      <c r="F102" s="66">
        <f>_xlfn.XLOOKUP(CoreValuesResults[[#This Row],[Team Number]],InnovationProjectResults[Team Number],InnovationProjectResults[Communicate 2 (CV)])</f>
        <v>0</v>
      </c>
      <c r="G102" s="66">
        <f>_xlfn.XLOOKUP(CoreValuesResults[[#This Row],[Team Number]],RobotDesignResults[Team Number],RobotDesignResults[Identify 2 (CV)])</f>
        <v>0</v>
      </c>
      <c r="H102" s="66">
        <f>_xlfn.XLOOKUP(CoreValuesResults[[#This Row],[Team Number]],RobotDesignResults[Team Number],RobotDesignResults[Iterate 3 (CV)])</f>
        <v>0</v>
      </c>
      <c r="I102" s="66">
        <f>_xlfn.XLOOKUP(CoreValuesResults[[#This Row],[Team Number]],RobotDesignResults[Team Number],RobotDesignResults[Communicate 1 (CV)])</f>
        <v>0</v>
      </c>
      <c r="J102" s="66">
        <f>_xlfn.XLOOKUP(CoreValuesResults[[#This Row],[Team Number]],RobotDesignResults[Team Number],RobotDesignResults[Communicate 2 (CV)])</f>
        <v>0</v>
      </c>
      <c r="K102" s="12"/>
      <c r="L102" s="12"/>
      <c r="M102" s="12"/>
      <c r="N102" s="12"/>
      <c r="O102" s="12"/>
      <c r="P102" s="12"/>
      <c r="Q102" s="8"/>
      <c r="R102" s="8"/>
      <c r="S102" s="8"/>
      <c r="T102" s="34">
        <f>SUM(CoreValuesResults[[#This Row],[Project CV 1 - EXPLORE]:[Engineering CV 4 - COMMUNINCATE]],CoreValuesResults[[#This Row],[Gracious Professionalism Score]])</f>
        <v>0</v>
      </c>
      <c r="U102" s="21">
        <f>IF(CoreValuesResults[[#This Row],[Team Number]]&gt;0,MIN(_xlfn.RANK.EQ(CoreValuesResults[[#This Row],[Core Values Score]],CoreValuesResults[Core Values Score],0),NumberOfTeams),NumberOfTeams+1)</f>
        <v>9</v>
      </c>
      <c r="V102" s="35"/>
      <c r="W102" s="35"/>
    </row>
    <row r="103" spans="1:23" ht="30" customHeight="1" x14ac:dyDescent="0.25">
      <c r="A103" s="8">
        <f>_xlfn.XLOOKUP(102,OfficialTeamList[Row],OfficialTeamList[Team Number],"ERROR",0)</f>
        <v>0</v>
      </c>
      <c r="B103" s="20" t="str">
        <f>_xlfn.XLOOKUP(CoreValuesResults[[#This Row],[Team Number]],OfficialTeamList[Team Number],OfficialTeamList[Team Name],"",0,)</f>
        <v/>
      </c>
      <c r="C103" s="66">
        <f>_xlfn.XLOOKUP(CoreValuesResults[[#This Row],[Team Number]],InnovationProjectResults[Team Number],InnovationProjectResults[Explore 2 (CV)])</f>
        <v>0</v>
      </c>
      <c r="D103" s="66">
        <f>_xlfn.XLOOKUP(CoreValuesResults[[#This Row],[Team Number]],InnovationProjectResults[Team Number],InnovationProjectResults[Ideate 3 (CV)])</f>
        <v>0</v>
      </c>
      <c r="E103" s="66">
        <f>_xlfn.XLOOKUP(CoreValuesResults[[#This Row],[Team Number]],InnovationProjectResults[Team Number],InnovationProjectResults[Implement 1 (CV)])</f>
        <v>0</v>
      </c>
      <c r="F103" s="66">
        <f>_xlfn.XLOOKUP(CoreValuesResults[[#This Row],[Team Number]],InnovationProjectResults[Team Number],InnovationProjectResults[Communicate 2 (CV)])</f>
        <v>0</v>
      </c>
      <c r="G103" s="66">
        <f>_xlfn.XLOOKUP(CoreValuesResults[[#This Row],[Team Number]],RobotDesignResults[Team Number],RobotDesignResults[Identify 2 (CV)])</f>
        <v>0</v>
      </c>
      <c r="H103" s="66">
        <f>_xlfn.XLOOKUP(CoreValuesResults[[#This Row],[Team Number]],RobotDesignResults[Team Number],RobotDesignResults[Iterate 3 (CV)])</f>
        <v>0</v>
      </c>
      <c r="I103" s="66">
        <f>_xlfn.XLOOKUP(CoreValuesResults[[#This Row],[Team Number]],RobotDesignResults[Team Number],RobotDesignResults[Communicate 1 (CV)])</f>
        <v>0</v>
      </c>
      <c r="J103" s="66">
        <f>_xlfn.XLOOKUP(CoreValuesResults[[#This Row],[Team Number]],RobotDesignResults[Team Number],RobotDesignResults[Communicate 2 (CV)])</f>
        <v>0</v>
      </c>
      <c r="K103" s="12"/>
      <c r="L103" s="12"/>
      <c r="M103" s="12"/>
      <c r="N103" s="12"/>
      <c r="O103" s="12"/>
      <c r="P103" s="12"/>
      <c r="Q103" s="8"/>
      <c r="R103" s="8"/>
      <c r="S103" s="8"/>
      <c r="T103" s="34">
        <f>SUM(CoreValuesResults[[#This Row],[Project CV 1 - EXPLORE]:[Engineering CV 4 - COMMUNINCATE]],CoreValuesResults[[#This Row],[Gracious Professionalism Score]])</f>
        <v>0</v>
      </c>
      <c r="U103" s="21">
        <f>IF(CoreValuesResults[[#This Row],[Team Number]]&gt;0,MIN(_xlfn.RANK.EQ(CoreValuesResults[[#This Row],[Core Values Score]],CoreValuesResults[Core Values Score],0),NumberOfTeams),NumberOfTeams+1)</f>
        <v>9</v>
      </c>
      <c r="V103" s="35"/>
      <c r="W103" s="35"/>
    </row>
    <row r="104" spans="1:23" ht="30" customHeight="1" x14ac:dyDescent="0.25">
      <c r="A104" s="8">
        <f>_xlfn.XLOOKUP(103,OfficialTeamList[Row],OfficialTeamList[Team Number],"ERROR",0)</f>
        <v>0</v>
      </c>
      <c r="B104" s="20" t="str">
        <f>_xlfn.XLOOKUP(CoreValuesResults[[#This Row],[Team Number]],OfficialTeamList[Team Number],OfficialTeamList[Team Name],"",0,)</f>
        <v/>
      </c>
      <c r="C104" s="66">
        <f>_xlfn.XLOOKUP(CoreValuesResults[[#This Row],[Team Number]],InnovationProjectResults[Team Number],InnovationProjectResults[Explore 2 (CV)])</f>
        <v>0</v>
      </c>
      <c r="D104" s="66">
        <f>_xlfn.XLOOKUP(CoreValuesResults[[#This Row],[Team Number]],InnovationProjectResults[Team Number],InnovationProjectResults[Ideate 3 (CV)])</f>
        <v>0</v>
      </c>
      <c r="E104" s="66">
        <f>_xlfn.XLOOKUP(CoreValuesResults[[#This Row],[Team Number]],InnovationProjectResults[Team Number],InnovationProjectResults[Implement 1 (CV)])</f>
        <v>0</v>
      </c>
      <c r="F104" s="66">
        <f>_xlfn.XLOOKUP(CoreValuesResults[[#This Row],[Team Number]],InnovationProjectResults[Team Number],InnovationProjectResults[Communicate 2 (CV)])</f>
        <v>0</v>
      </c>
      <c r="G104" s="66">
        <f>_xlfn.XLOOKUP(CoreValuesResults[[#This Row],[Team Number]],RobotDesignResults[Team Number],RobotDesignResults[Identify 2 (CV)])</f>
        <v>0</v>
      </c>
      <c r="H104" s="66">
        <f>_xlfn.XLOOKUP(CoreValuesResults[[#This Row],[Team Number]],RobotDesignResults[Team Number],RobotDesignResults[Iterate 3 (CV)])</f>
        <v>0</v>
      </c>
      <c r="I104" s="66">
        <f>_xlfn.XLOOKUP(CoreValuesResults[[#This Row],[Team Number]],RobotDesignResults[Team Number],RobotDesignResults[Communicate 1 (CV)])</f>
        <v>0</v>
      </c>
      <c r="J104" s="66">
        <f>_xlfn.XLOOKUP(CoreValuesResults[[#This Row],[Team Number]],RobotDesignResults[Team Number],RobotDesignResults[Communicate 2 (CV)])</f>
        <v>0</v>
      </c>
      <c r="K104" s="12"/>
      <c r="L104" s="12"/>
      <c r="M104" s="12"/>
      <c r="N104" s="12"/>
      <c r="O104" s="12"/>
      <c r="P104" s="12"/>
      <c r="Q104" s="8"/>
      <c r="R104" s="8"/>
      <c r="S104" s="8"/>
      <c r="T104" s="34">
        <f>SUM(CoreValuesResults[[#This Row],[Project CV 1 - EXPLORE]:[Engineering CV 4 - COMMUNINCATE]],CoreValuesResults[[#This Row],[Gracious Professionalism Score]])</f>
        <v>0</v>
      </c>
      <c r="U104" s="21">
        <f>IF(CoreValuesResults[[#This Row],[Team Number]]&gt;0,MIN(_xlfn.RANK.EQ(CoreValuesResults[[#This Row],[Core Values Score]],CoreValuesResults[Core Values Score],0),NumberOfTeams),NumberOfTeams+1)</f>
        <v>9</v>
      </c>
      <c r="V104" s="35"/>
      <c r="W104" s="35"/>
    </row>
    <row r="105" spans="1:23" ht="30" customHeight="1" x14ac:dyDescent="0.25">
      <c r="A105" s="8">
        <f>_xlfn.XLOOKUP(104,OfficialTeamList[Row],OfficialTeamList[Team Number],"ERROR",0)</f>
        <v>0</v>
      </c>
      <c r="B105" s="20" t="str">
        <f>_xlfn.XLOOKUP(CoreValuesResults[[#This Row],[Team Number]],OfficialTeamList[Team Number],OfficialTeamList[Team Name],"",0,)</f>
        <v/>
      </c>
      <c r="C105" s="66">
        <f>_xlfn.XLOOKUP(CoreValuesResults[[#This Row],[Team Number]],InnovationProjectResults[Team Number],InnovationProjectResults[Explore 2 (CV)])</f>
        <v>0</v>
      </c>
      <c r="D105" s="66">
        <f>_xlfn.XLOOKUP(CoreValuesResults[[#This Row],[Team Number]],InnovationProjectResults[Team Number],InnovationProjectResults[Ideate 3 (CV)])</f>
        <v>0</v>
      </c>
      <c r="E105" s="66">
        <f>_xlfn.XLOOKUP(CoreValuesResults[[#This Row],[Team Number]],InnovationProjectResults[Team Number],InnovationProjectResults[Implement 1 (CV)])</f>
        <v>0</v>
      </c>
      <c r="F105" s="66">
        <f>_xlfn.XLOOKUP(CoreValuesResults[[#This Row],[Team Number]],InnovationProjectResults[Team Number],InnovationProjectResults[Communicate 2 (CV)])</f>
        <v>0</v>
      </c>
      <c r="G105" s="66">
        <f>_xlfn.XLOOKUP(CoreValuesResults[[#This Row],[Team Number]],RobotDesignResults[Team Number],RobotDesignResults[Identify 2 (CV)])</f>
        <v>0</v>
      </c>
      <c r="H105" s="66">
        <f>_xlfn.XLOOKUP(CoreValuesResults[[#This Row],[Team Number]],RobotDesignResults[Team Number],RobotDesignResults[Iterate 3 (CV)])</f>
        <v>0</v>
      </c>
      <c r="I105" s="66">
        <f>_xlfn.XLOOKUP(CoreValuesResults[[#This Row],[Team Number]],RobotDesignResults[Team Number],RobotDesignResults[Communicate 1 (CV)])</f>
        <v>0</v>
      </c>
      <c r="J105" s="66">
        <f>_xlfn.XLOOKUP(CoreValuesResults[[#This Row],[Team Number]],RobotDesignResults[Team Number],RobotDesignResults[Communicate 2 (CV)])</f>
        <v>0</v>
      </c>
      <c r="K105" s="12"/>
      <c r="L105" s="12"/>
      <c r="M105" s="12"/>
      <c r="N105" s="12"/>
      <c r="O105" s="12"/>
      <c r="P105" s="12"/>
      <c r="Q105" s="8"/>
      <c r="R105" s="8"/>
      <c r="S105" s="8"/>
      <c r="T105" s="34">
        <f>SUM(CoreValuesResults[[#This Row],[Project CV 1 - EXPLORE]:[Engineering CV 4 - COMMUNINCATE]],CoreValuesResults[[#This Row],[Gracious Professionalism Score]])</f>
        <v>0</v>
      </c>
      <c r="U105" s="21">
        <f>IF(CoreValuesResults[[#This Row],[Team Number]]&gt;0,MIN(_xlfn.RANK.EQ(CoreValuesResults[[#This Row],[Core Values Score]],CoreValuesResults[Core Values Score],0),NumberOfTeams),NumberOfTeams+1)</f>
        <v>9</v>
      </c>
      <c r="V105" s="35"/>
      <c r="W105" s="35"/>
    </row>
    <row r="106" spans="1:23" ht="30" customHeight="1" x14ac:dyDescent="0.25">
      <c r="A106" s="8">
        <f>_xlfn.XLOOKUP(105,OfficialTeamList[Row],OfficialTeamList[Team Number],"ERROR",0)</f>
        <v>0</v>
      </c>
      <c r="B106" s="20" t="str">
        <f>_xlfn.XLOOKUP(CoreValuesResults[[#This Row],[Team Number]],OfficialTeamList[Team Number],OfficialTeamList[Team Name],"",0,)</f>
        <v/>
      </c>
      <c r="C106" s="66">
        <f>_xlfn.XLOOKUP(CoreValuesResults[[#This Row],[Team Number]],InnovationProjectResults[Team Number],InnovationProjectResults[Explore 2 (CV)])</f>
        <v>0</v>
      </c>
      <c r="D106" s="66">
        <f>_xlfn.XLOOKUP(CoreValuesResults[[#This Row],[Team Number]],InnovationProjectResults[Team Number],InnovationProjectResults[Ideate 3 (CV)])</f>
        <v>0</v>
      </c>
      <c r="E106" s="66">
        <f>_xlfn.XLOOKUP(CoreValuesResults[[#This Row],[Team Number]],InnovationProjectResults[Team Number],InnovationProjectResults[Implement 1 (CV)])</f>
        <v>0</v>
      </c>
      <c r="F106" s="66">
        <f>_xlfn.XLOOKUP(CoreValuesResults[[#This Row],[Team Number]],InnovationProjectResults[Team Number],InnovationProjectResults[Communicate 2 (CV)])</f>
        <v>0</v>
      </c>
      <c r="G106" s="66">
        <f>_xlfn.XLOOKUP(CoreValuesResults[[#This Row],[Team Number]],RobotDesignResults[Team Number],RobotDesignResults[Identify 2 (CV)])</f>
        <v>0</v>
      </c>
      <c r="H106" s="66">
        <f>_xlfn.XLOOKUP(CoreValuesResults[[#This Row],[Team Number]],RobotDesignResults[Team Number],RobotDesignResults[Iterate 3 (CV)])</f>
        <v>0</v>
      </c>
      <c r="I106" s="66">
        <f>_xlfn.XLOOKUP(CoreValuesResults[[#This Row],[Team Number]],RobotDesignResults[Team Number],RobotDesignResults[Communicate 1 (CV)])</f>
        <v>0</v>
      </c>
      <c r="J106" s="66">
        <f>_xlfn.XLOOKUP(CoreValuesResults[[#This Row],[Team Number]],RobotDesignResults[Team Number],RobotDesignResults[Communicate 2 (CV)])</f>
        <v>0</v>
      </c>
      <c r="K106" s="12"/>
      <c r="L106" s="12"/>
      <c r="M106" s="12"/>
      <c r="N106" s="12"/>
      <c r="O106" s="12"/>
      <c r="P106" s="12"/>
      <c r="Q106" s="8"/>
      <c r="R106" s="8"/>
      <c r="S106" s="8"/>
      <c r="T106" s="34">
        <f>SUM(CoreValuesResults[[#This Row],[Project CV 1 - EXPLORE]:[Engineering CV 4 - COMMUNINCATE]],CoreValuesResults[[#This Row],[Gracious Professionalism Score]])</f>
        <v>0</v>
      </c>
      <c r="U106" s="21">
        <f>IF(CoreValuesResults[[#This Row],[Team Number]]&gt;0,MIN(_xlfn.RANK.EQ(CoreValuesResults[[#This Row],[Core Values Score]],CoreValuesResults[Core Values Score],0),NumberOfTeams),NumberOfTeams+1)</f>
        <v>9</v>
      </c>
      <c r="V106" s="35"/>
      <c r="W106" s="35"/>
    </row>
    <row r="107" spans="1:23" ht="30" customHeight="1" x14ac:dyDescent="0.25">
      <c r="A107" s="8">
        <f>_xlfn.XLOOKUP(106,OfficialTeamList[Row],OfficialTeamList[Team Number],"ERROR",0)</f>
        <v>0</v>
      </c>
      <c r="B107" s="20" t="str">
        <f>_xlfn.XLOOKUP(CoreValuesResults[[#This Row],[Team Number]],OfficialTeamList[Team Number],OfficialTeamList[Team Name],"",0,)</f>
        <v/>
      </c>
      <c r="C107" s="66">
        <f>_xlfn.XLOOKUP(CoreValuesResults[[#This Row],[Team Number]],InnovationProjectResults[Team Number],InnovationProjectResults[Explore 2 (CV)])</f>
        <v>0</v>
      </c>
      <c r="D107" s="66">
        <f>_xlfn.XLOOKUP(CoreValuesResults[[#This Row],[Team Number]],InnovationProjectResults[Team Number],InnovationProjectResults[Ideate 3 (CV)])</f>
        <v>0</v>
      </c>
      <c r="E107" s="66">
        <f>_xlfn.XLOOKUP(CoreValuesResults[[#This Row],[Team Number]],InnovationProjectResults[Team Number],InnovationProjectResults[Implement 1 (CV)])</f>
        <v>0</v>
      </c>
      <c r="F107" s="66">
        <f>_xlfn.XLOOKUP(CoreValuesResults[[#This Row],[Team Number]],InnovationProjectResults[Team Number],InnovationProjectResults[Communicate 2 (CV)])</f>
        <v>0</v>
      </c>
      <c r="G107" s="66">
        <f>_xlfn.XLOOKUP(CoreValuesResults[[#This Row],[Team Number]],RobotDesignResults[Team Number],RobotDesignResults[Identify 2 (CV)])</f>
        <v>0</v>
      </c>
      <c r="H107" s="66">
        <f>_xlfn.XLOOKUP(CoreValuesResults[[#This Row],[Team Number]],RobotDesignResults[Team Number],RobotDesignResults[Iterate 3 (CV)])</f>
        <v>0</v>
      </c>
      <c r="I107" s="66">
        <f>_xlfn.XLOOKUP(CoreValuesResults[[#This Row],[Team Number]],RobotDesignResults[Team Number],RobotDesignResults[Communicate 1 (CV)])</f>
        <v>0</v>
      </c>
      <c r="J107" s="66">
        <f>_xlfn.XLOOKUP(CoreValuesResults[[#This Row],[Team Number]],RobotDesignResults[Team Number],RobotDesignResults[Communicate 2 (CV)])</f>
        <v>0</v>
      </c>
      <c r="K107" s="12"/>
      <c r="L107" s="12"/>
      <c r="M107" s="12"/>
      <c r="N107" s="12"/>
      <c r="O107" s="12"/>
      <c r="P107" s="12"/>
      <c r="Q107" s="8"/>
      <c r="R107" s="8"/>
      <c r="S107" s="8"/>
      <c r="T107" s="34">
        <f>SUM(CoreValuesResults[[#This Row],[Project CV 1 - EXPLORE]:[Engineering CV 4 - COMMUNINCATE]],CoreValuesResults[[#This Row],[Gracious Professionalism Score]])</f>
        <v>0</v>
      </c>
      <c r="U107" s="21">
        <f>IF(CoreValuesResults[[#This Row],[Team Number]]&gt;0,MIN(_xlfn.RANK.EQ(CoreValuesResults[[#This Row],[Core Values Score]],CoreValuesResults[Core Values Score],0),NumberOfTeams),NumberOfTeams+1)</f>
        <v>9</v>
      </c>
      <c r="V107" s="35"/>
      <c r="W107" s="35"/>
    </row>
    <row r="108" spans="1:23" ht="30" customHeight="1" x14ac:dyDescent="0.25">
      <c r="A108" s="8">
        <f>_xlfn.XLOOKUP(107,OfficialTeamList[Row],OfficialTeamList[Team Number],"ERROR",0)</f>
        <v>0</v>
      </c>
      <c r="B108" s="20" t="str">
        <f>_xlfn.XLOOKUP(CoreValuesResults[[#This Row],[Team Number]],OfficialTeamList[Team Number],OfficialTeamList[Team Name],"",0,)</f>
        <v/>
      </c>
      <c r="C108" s="66">
        <f>_xlfn.XLOOKUP(CoreValuesResults[[#This Row],[Team Number]],InnovationProjectResults[Team Number],InnovationProjectResults[Explore 2 (CV)])</f>
        <v>0</v>
      </c>
      <c r="D108" s="66">
        <f>_xlfn.XLOOKUP(CoreValuesResults[[#This Row],[Team Number]],InnovationProjectResults[Team Number],InnovationProjectResults[Ideate 3 (CV)])</f>
        <v>0</v>
      </c>
      <c r="E108" s="66">
        <f>_xlfn.XLOOKUP(CoreValuesResults[[#This Row],[Team Number]],InnovationProjectResults[Team Number],InnovationProjectResults[Implement 1 (CV)])</f>
        <v>0</v>
      </c>
      <c r="F108" s="66">
        <f>_xlfn.XLOOKUP(CoreValuesResults[[#This Row],[Team Number]],InnovationProjectResults[Team Number],InnovationProjectResults[Communicate 2 (CV)])</f>
        <v>0</v>
      </c>
      <c r="G108" s="66">
        <f>_xlfn.XLOOKUP(CoreValuesResults[[#This Row],[Team Number]],RobotDesignResults[Team Number],RobotDesignResults[Identify 2 (CV)])</f>
        <v>0</v>
      </c>
      <c r="H108" s="66">
        <f>_xlfn.XLOOKUP(CoreValuesResults[[#This Row],[Team Number]],RobotDesignResults[Team Number],RobotDesignResults[Iterate 3 (CV)])</f>
        <v>0</v>
      </c>
      <c r="I108" s="66">
        <f>_xlfn.XLOOKUP(CoreValuesResults[[#This Row],[Team Number]],RobotDesignResults[Team Number],RobotDesignResults[Communicate 1 (CV)])</f>
        <v>0</v>
      </c>
      <c r="J108" s="66">
        <f>_xlfn.XLOOKUP(CoreValuesResults[[#This Row],[Team Number]],RobotDesignResults[Team Number],RobotDesignResults[Communicate 2 (CV)])</f>
        <v>0</v>
      </c>
      <c r="K108" s="12"/>
      <c r="L108" s="12"/>
      <c r="M108" s="12"/>
      <c r="N108" s="12"/>
      <c r="O108" s="12"/>
      <c r="P108" s="12"/>
      <c r="Q108" s="8"/>
      <c r="R108" s="8"/>
      <c r="S108" s="8"/>
      <c r="T108" s="34">
        <f>SUM(CoreValuesResults[[#This Row],[Project CV 1 - EXPLORE]:[Engineering CV 4 - COMMUNINCATE]],CoreValuesResults[[#This Row],[Gracious Professionalism Score]])</f>
        <v>0</v>
      </c>
      <c r="U108" s="21">
        <f>IF(CoreValuesResults[[#This Row],[Team Number]]&gt;0,MIN(_xlfn.RANK.EQ(CoreValuesResults[[#This Row],[Core Values Score]],CoreValuesResults[Core Values Score],0),NumberOfTeams),NumberOfTeams+1)</f>
        <v>9</v>
      </c>
      <c r="V108" s="35"/>
      <c r="W108" s="35"/>
    </row>
    <row r="109" spans="1:23" ht="30" customHeight="1" x14ac:dyDescent="0.25">
      <c r="A109" s="8">
        <f>_xlfn.XLOOKUP(108,OfficialTeamList[Row],OfficialTeamList[Team Number],"ERROR",0)</f>
        <v>0</v>
      </c>
      <c r="B109" s="20" t="str">
        <f>_xlfn.XLOOKUP(CoreValuesResults[[#This Row],[Team Number]],OfficialTeamList[Team Number],OfficialTeamList[Team Name],"",0,)</f>
        <v/>
      </c>
      <c r="C109" s="66">
        <f>_xlfn.XLOOKUP(CoreValuesResults[[#This Row],[Team Number]],InnovationProjectResults[Team Number],InnovationProjectResults[Explore 2 (CV)])</f>
        <v>0</v>
      </c>
      <c r="D109" s="66">
        <f>_xlfn.XLOOKUP(CoreValuesResults[[#This Row],[Team Number]],InnovationProjectResults[Team Number],InnovationProjectResults[Ideate 3 (CV)])</f>
        <v>0</v>
      </c>
      <c r="E109" s="66">
        <f>_xlfn.XLOOKUP(CoreValuesResults[[#This Row],[Team Number]],InnovationProjectResults[Team Number],InnovationProjectResults[Implement 1 (CV)])</f>
        <v>0</v>
      </c>
      <c r="F109" s="66">
        <f>_xlfn.XLOOKUP(CoreValuesResults[[#This Row],[Team Number]],InnovationProjectResults[Team Number],InnovationProjectResults[Communicate 2 (CV)])</f>
        <v>0</v>
      </c>
      <c r="G109" s="66">
        <f>_xlfn.XLOOKUP(CoreValuesResults[[#This Row],[Team Number]],RobotDesignResults[Team Number],RobotDesignResults[Identify 2 (CV)])</f>
        <v>0</v>
      </c>
      <c r="H109" s="66">
        <f>_xlfn.XLOOKUP(CoreValuesResults[[#This Row],[Team Number]],RobotDesignResults[Team Number],RobotDesignResults[Iterate 3 (CV)])</f>
        <v>0</v>
      </c>
      <c r="I109" s="66">
        <f>_xlfn.XLOOKUP(CoreValuesResults[[#This Row],[Team Number]],RobotDesignResults[Team Number],RobotDesignResults[Communicate 1 (CV)])</f>
        <v>0</v>
      </c>
      <c r="J109" s="66">
        <f>_xlfn.XLOOKUP(CoreValuesResults[[#This Row],[Team Number]],RobotDesignResults[Team Number],RobotDesignResults[Communicate 2 (CV)])</f>
        <v>0</v>
      </c>
      <c r="K109" s="12"/>
      <c r="L109" s="12"/>
      <c r="M109" s="12"/>
      <c r="N109" s="12"/>
      <c r="O109" s="12"/>
      <c r="P109" s="12"/>
      <c r="Q109" s="8"/>
      <c r="R109" s="8"/>
      <c r="S109" s="8"/>
      <c r="T109" s="34">
        <f>SUM(CoreValuesResults[[#This Row],[Project CV 1 - EXPLORE]:[Engineering CV 4 - COMMUNINCATE]],CoreValuesResults[[#This Row],[Gracious Professionalism Score]])</f>
        <v>0</v>
      </c>
      <c r="U109" s="21">
        <f>IF(CoreValuesResults[[#This Row],[Team Number]]&gt;0,MIN(_xlfn.RANK.EQ(CoreValuesResults[[#This Row],[Core Values Score]],CoreValuesResults[Core Values Score],0),NumberOfTeams),NumberOfTeams+1)</f>
        <v>9</v>
      </c>
      <c r="V109" s="35"/>
      <c r="W109" s="35"/>
    </row>
    <row r="110" spans="1:23" ht="30" customHeight="1" x14ac:dyDescent="0.25">
      <c r="A110" s="8">
        <f>_xlfn.XLOOKUP(109,OfficialTeamList[Row],OfficialTeamList[Team Number],"ERROR",0)</f>
        <v>0</v>
      </c>
      <c r="B110" s="20" t="str">
        <f>_xlfn.XLOOKUP(CoreValuesResults[[#This Row],[Team Number]],OfficialTeamList[Team Number],OfficialTeamList[Team Name],"",0,)</f>
        <v/>
      </c>
      <c r="C110" s="66">
        <f>_xlfn.XLOOKUP(CoreValuesResults[[#This Row],[Team Number]],InnovationProjectResults[Team Number],InnovationProjectResults[Explore 2 (CV)])</f>
        <v>0</v>
      </c>
      <c r="D110" s="66">
        <f>_xlfn.XLOOKUP(CoreValuesResults[[#This Row],[Team Number]],InnovationProjectResults[Team Number],InnovationProjectResults[Ideate 3 (CV)])</f>
        <v>0</v>
      </c>
      <c r="E110" s="66">
        <f>_xlfn.XLOOKUP(CoreValuesResults[[#This Row],[Team Number]],InnovationProjectResults[Team Number],InnovationProjectResults[Implement 1 (CV)])</f>
        <v>0</v>
      </c>
      <c r="F110" s="66">
        <f>_xlfn.XLOOKUP(CoreValuesResults[[#This Row],[Team Number]],InnovationProjectResults[Team Number],InnovationProjectResults[Communicate 2 (CV)])</f>
        <v>0</v>
      </c>
      <c r="G110" s="66">
        <f>_xlfn.XLOOKUP(CoreValuesResults[[#This Row],[Team Number]],RobotDesignResults[Team Number],RobotDesignResults[Identify 2 (CV)])</f>
        <v>0</v>
      </c>
      <c r="H110" s="66">
        <f>_xlfn.XLOOKUP(CoreValuesResults[[#This Row],[Team Number]],RobotDesignResults[Team Number],RobotDesignResults[Iterate 3 (CV)])</f>
        <v>0</v>
      </c>
      <c r="I110" s="66">
        <f>_xlfn.XLOOKUP(CoreValuesResults[[#This Row],[Team Number]],RobotDesignResults[Team Number],RobotDesignResults[Communicate 1 (CV)])</f>
        <v>0</v>
      </c>
      <c r="J110" s="66">
        <f>_xlfn.XLOOKUP(CoreValuesResults[[#This Row],[Team Number]],RobotDesignResults[Team Number],RobotDesignResults[Communicate 2 (CV)])</f>
        <v>0</v>
      </c>
      <c r="K110" s="12"/>
      <c r="L110" s="12"/>
      <c r="M110" s="12"/>
      <c r="N110" s="12"/>
      <c r="O110" s="12"/>
      <c r="P110" s="12"/>
      <c r="Q110" s="8"/>
      <c r="R110" s="8"/>
      <c r="S110" s="8"/>
      <c r="T110" s="36">
        <f>SUM(CoreValuesResults[[#This Row],[Project CV 1 - EXPLORE]:[Engineering CV 4 - COMMUNINCATE]],CoreValuesResults[[#This Row],[Gracious Professionalism Score]])</f>
        <v>0</v>
      </c>
      <c r="U110" s="21">
        <f>IF(CoreValuesResults[[#This Row],[Team Number]]&gt;0,MIN(_xlfn.RANK.EQ(CoreValuesResults[[#This Row],[Core Values Score]],CoreValuesResults[Core Values Score],0),NumberOfTeams),NumberOfTeams+1)</f>
        <v>9</v>
      </c>
      <c r="V110" s="35"/>
      <c r="W110" s="35"/>
    </row>
    <row r="111" spans="1:23" ht="30" customHeight="1" x14ac:dyDescent="0.25">
      <c r="A111" s="8">
        <f>_xlfn.XLOOKUP(110,OfficialTeamList[Row],OfficialTeamList[Team Number],"ERROR",0)</f>
        <v>0</v>
      </c>
      <c r="B111" s="20" t="str">
        <f>_xlfn.XLOOKUP(CoreValuesResults[[#This Row],[Team Number]],OfficialTeamList[Team Number],OfficialTeamList[Team Name],"",0,)</f>
        <v/>
      </c>
      <c r="C111" s="66">
        <f>_xlfn.XLOOKUP(CoreValuesResults[[#This Row],[Team Number]],InnovationProjectResults[Team Number],InnovationProjectResults[Explore 2 (CV)])</f>
        <v>0</v>
      </c>
      <c r="D111" s="66">
        <f>_xlfn.XLOOKUP(CoreValuesResults[[#This Row],[Team Number]],InnovationProjectResults[Team Number],InnovationProjectResults[Ideate 3 (CV)])</f>
        <v>0</v>
      </c>
      <c r="E111" s="66">
        <f>_xlfn.XLOOKUP(CoreValuesResults[[#This Row],[Team Number]],InnovationProjectResults[Team Number],InnovationProjectResults[Implement 1 (CV)])</f>
        <v>0</v>
      </c>
      <c r="F111" s="66">
        <f>_xlfn.XLOOKUP(CoreValuesResults[[#This Row],[Team Number]],InnovationProjectResults[Team Number],InnovationProjectResults[Communicate 2 (CV)])</f>
        <v>0</v>
      </c>
      <c r="G111" s="66">
        <f>_xlfn.XLOOKUP(CoreValuesResults[[#This Row],[Team Number]],RobotDesignResults[Team Number],RobotDesignResults[Identify 2 (CV)])</f>
        <v>0</v>
      </c>
      <c r="H111" s="66">
        <f>_xlfn.XLOOKUP(CoreValuesResults[[#This Row],[Team Number]],RobotDesignResults[Team Number],RobotDesignResults[Iterate 3 (CV)])</f>
        <v>0</v>
      </c>
      <c r="I111" s="66">
        <f>_xlfn.XLOOKUP(CoreValuesResults[[#This Row],[Team Number]],RobotDesignResults[Team Number],RobotDesignResults[Communicate 1 (CV)])</f>
        <v>0</v>
      </c>
      <c r="J111" s="66">
        <f>_xlfn.XLOOKUP(CoreValuesResults[[#This Row],[Team Number]],RobotDesignResults[Team Number],RobotDesignResults[Communicate 2 (CV)])</f>
        <v>0</v>
      </c>
      <c r="K111" s="12"/>
      <c r="L111" s="12"/>
      <c r="M111" s="12"/>
      <c r="N111" s="12"/>
      <c r="O111" s="12"/>
      <c r="P111" s="12"/>
      <c r="Q111" s="8"/>
      <c r="R111" s="8"/>
      <c r="S111" s="8"/>
      <c r="T111" s="36">
        <f>SUM(CoreValuesResults[[#This Row],[Project CV 1 - EXPLORE]:[Engineering CV 4 - COMMUNINCATE]],CoreValuesResults[[#This Row],[Gracious Professionalism Score]])</f>
        <v>0</v>
      </c>
      <c r="U111" s="21">
        <f>IF(CoreValuesResults[[#This Row],[Team Number]]&gt;0,MIN(_xlfn.RANK.EQ(CoreValuesResults[[#This Row],[Core Values Score]],CoreValuesResults[Core Values Score],0),NumberOfTeams),NumberOfTeams+1)</f>
        <v>9</v>
      </c>
      <c r="V111" s="35"/>
      <c r="W111" s="35"/>
    </row>
    <row r="112" spans="1:23" ht="30" customHeight="1" x14ac:dyDescent="0.25">
      <c r="A112" s="8">
        <f>_xlfn.XLOOKUP(111,OfficialTeamList[Row],OfficialTeamList[Team Number],"ERROR",0)</f>
        <v>0</v>
      </c>
      <c r="B112" s="20" t="str">
        <f>_xlfn.XLOOKUP(CoreValuesResults[[#This Row],[Team Number]],OfficialTeamList[Team Number],OfficialTeamList[Team Name],"",0,)</f>
        <v/>
      </c>
      <c r="C112" s="66">
        <f>_xlfn.XLOOKUP(CoreValuesResults[[#This Row],[Team Number]],InnovationProjectResults[Team Number],InnovationProjectResults[Explore 2 (CV)])</f>
        <v>0</v>
      </c>
      <c r="D112" s="66">
        <f>_xlfn.XLOOKUP(CoreValuesResults[[#This Row],[Team Number]],InnovationProjectResults[Team Number],InnovationProjectResults[Ideate 3 (CV)])</f>
        <v>0</v>
      </c>
      <c r="E112" s="66">
        <f>_xlfn.XLOOKUP(CoreValuesResults[[#This Row],[Team Number]],InnovationProjectResults[Team Number],InnovationProjectResults[Implement 1 (CV)])</f>
        <v>0</v>
      </c>
      <c r="F112" s="66">
        <f>_xlfn.XLOOKUP(CoreValuesResults[[#This Row],[Team Number]],InnovationProjectResults[Team Number],InnovationProjectResults[Communicate 2 (CV)])</f>
        <v>0</v>
      </c>
      <c r="G112" s="66">
        <f>_xlfn.XLOOKUP(CoreValuesResults[[#This Row],[Team Number]],RobotDesignResults[Team Number],RobotDesignResults[Identify 2 (CV)])</f>
        <v>0</v>
      </c>
      <c r="H112" s="66">
        <f>_xlfn.XLOOKUP(CoreValuesResults[[#This Row],[Team Number]],RobotDesignResults[Team Number],RobotDesignResults[Iterate 3 (CV)])</f>
        <v>0</v>
      </c>
      <c r="I112" s="66">
        <f>_xlfn.XLOOKUP(CoreValuesResults[[#This Row],[Team Number]],RobotDesignResults[Team Number],RobotDesignResults[Communicate 1 (CV)])</f>
        <v>0</v>
      </c>
      <c r="J112" s="66">
        <f>_xlfn.XLOOKUP(CoreValuesResults[[#This Row],[Team Number]],RobotDesignResults[Team Number],RobotDesignResults[Communicate 2 (CV)])</f>
        <v>0</v>
      </c>
      <c r="K112" s="12"/>
      <c r="L112" s="12"/>
      <c r="M112" s="12"/>
      <c r="N112" s="12"/>
      <c r="O112" s="12"/>
      <c r="P112" s="12"/>
      <c r="Q112" s="8"/>
      <c r="R112" s="8"/>
      <c r="S112" s="8"/>
      <c r="T112" s="36">
        <f>SUM(CoreValuesResults[[#This Row],[Project CV 1 - EXPLORE]:[Engineering CV 4 - COMMUNINCATE]],CoreValuesResults[[#This Row],[Gracious Professionalism Score]])</f>
        <v>0</v>
      </c>
      <c r="U112" s="21">
        <f>IF(CoreValuesResults[[#This Row],[Team Number]]&gt;0,MIN(_xlfn.RANK.EQ(CoreValuesResults[[#This Row],[Core Values Score]],CoreValuesResults[Core Values Score],0),NumberOfTeams),NumberOfTeams+1)</f>
        <v>9</v>
      </c>
      <c r="V112" s="35"/>
      <c r="W112" s="35"/>
    </row>
    <row r="113" spans="1:23" ht="30" customHeight="1" x14ac:dyDescent="0.25">
      <c r="A113" s="8">
        <f>_xlfn.XLOOKUP(112,OfficialTeamList[Row],OfficialTeamList[Team Number],"ERROR",0)</f>
        <v>0</v>
      </c>
      <c r="B113" s="20" t="str">
        <f>_xlfn.XLOOKUP(CoreValuesResults[[#This Row],[Team Number]],OfficialTeamList[Team Number],OfficialTeamList[Team Name],"",0,)</f>
        <v/>
      </c>
      <c r="C113" s="66">
        <f>_xlfn.XLOOKUP(CoreValuesResults[[#This Row],[Team Number]],InnovationProjectResults[Team Number],InnovationProjectResults[Explore 2 (CV)])</f>
        <v>0</v>
      </c>
      <c r="D113" s="66">
        <f>_xlfn.XLOOKUP(CoreValuesResults[[#This Row],[Team Number]],InnovationProjectResults[Team Number],InnovationProjectResults[Ideate 3 (CV)])</f>
        <v>0</v>
      </c>
      <c r="E113" s="66">
        <f>_xlfn.XLOOKUP(CoreValuesResults[[#This Row],[Team Number]],InnovationProjectResults[Team Number],InnovationProjectResults[Implement 1 (CV)])</f>
        <v>0</v>
      </c>
      <c r="F113" s="66">
        <f>_xlfn.XLOOKUP(CoreValuesResults[[#This Row],[Team Number]],InnovationProjectResults[Team Number],InnovationProjectResults[Communicate 2 (CV)])</f>
        <v>0</v>
      </c>
      <c r="G113" s="66">
        <f>_xlfn.XLOOKUP(CoreValuesResults[[#This Row],[Team Number]],RobotDesignResults[Team Number],RobotDesignResults[Identify 2 (CV)])</f>
        <v>0</v>
      </c>
      <c r="H113" s="66">
        <f>_xlfn.XLOOKUP(CoreValuesResults[[#This Row],[Team Number]],RobotDesignResults[Team Number],RobotDesignResults[Iterate 3 (CV)])</f>
        <v>0</v>
      </c>
      <c r="I113" s="66">
        <f>_xlfn.XLOOKUP(CoreValuesResults[[#This Row],[Team Number]],RobotDesignResults[Team Number],RobotDesignResults[Communicate 1 (CV)])</f>
        <v>0</v>
      </c>
      <c r="J113" s="66">
        <f>_xlfn.XLOOKUP(CoreValuesResults[[#This Row],[Team Number]],RobotDesignResults[Team Number],RobotDesignResults[Communicate 2 (CV)])</f>
        <v>0</v>
      </c>
      <c r="K113" s="12"/>
      <c r="L113" s="12"/>
      <c r="M113" s="12"/>
      <c r="N113" s="12"/>
      <c r="O113" s="12"/>
      <c r="P113" s="12"/>
      <c r="Q113" s="8"/>
      <c r="R113" s="8"/>
      <c r="S113" s="8"/>
      <c r="T113" s="36">
        <f>SUM(CoreValuesResults[[#This Row],[Project CV 1 - EXPLORE]:[Engineering CV 4 - COMMUNINCATE]],CoreValuesResults[[#This Row],[Gracious Professionalism Score]])</f>
        <v>0</v>
      </c>
      <c r="U113" s="21">
        <f>IF(CoreValuesResults[[#This Row],[Team Number]]&gt;0,MIN(_xlfn.RANK.EQ(CoreValuesResults[[#This Row],[Core Values Score]],CoreValuesResults[Core Values Score],0),NumberOfTeams),NumberOfTeams+1)</f>
        <v>9</v>
      </c>
      <c r="V113" s="35"/>
      <c r="W113" s="35"/>
    </row>
    <row r="114" spans="1:23" ht="30" customHeight="1" x14ac:dyDescent="0.25">
      <c r="A114" s="8">
        <f>_xlfn.XLOOKUP(113,OfficialTeamList[Row],OfficialTeamList[Team Number],"ERROR",0)</f>
        <v>0</v>
      </c>
      <c r="B114" s="20" t="str">
        <f>_xlfn.XLOOKUP(CoreValuesResults[[#This Row],[Team Number]],OfficialTeamList[Team Number],OfficialTeamList[Team Name],"",0,)</f>
        <v/>
      </c>
      <c r="C114" s="66">
        <f>_xlfn.XLOOKUP(CoreValuesResults[[#This Row],[Team Number]],InnovationProjectResults[Team Number],InnovationProjectResults[Explore 2 (CV)])</f>
        <v>0</v>
      </c>
      <c r="D114" s="66">
        <f>_xlfn.XLOOKUP(CoreValuesResults[[#This Row],[Team Number]],InnovationProjectResults[Team Number],InnovationProjectResults[Ideate 3 (CV)])</f>
        <v>0</v>
      </c>
      <c r="E114" s="66">
        <f>_xlfn.XLOOKUP(CoreValuesResults[[#This Row],[Team Number]],InnovationProjectResults[Team Number],InnovationProjectResults[Implement 1 (CV)])</f>
        <v>0</v>
      </c>
      <c r="F114" s="66">
        <f>_xlfn.XLOOKUP(CoreValuesResults[[#This Row],[Team Number]],InnovationProjectResults[Team Number],InnovationProjectResults[Communicate 2 (CV)])</f>
        <v>0</v>
      </c>
      <c r="G114" s="66">
        <f>_xlfn.XLOOKUP(CoreValuesResults[[#This Row],[Team Number]],RobotDesignResults[Team Number],RobotDesignResults[Identify 2 (CV)])</f>
        <v>0</v>
      </c>
      <c r="H114" s="66">
        <f>_xlfn.XLOOKUP(CoreValuesResults[[#This Row],[Team Number]],RobotDesignResults[Team Number],RobotDesignResults[Iterate 3 (CV)])</f>
        <v>0</v>
      </c>
      <c r="I114" s="66">
        <f>_xlfn.XLOOKUP(CoreValuesResults[[#This Row],[Team Number]],RobotDesignResults[Team Number],RobotDesignResults[Communicate 1 (CV)])</f>
        <v>0</v>
      </c>
      <c r="J114" s="66">
        <f>_xlfn.XLOOKUP(CoreValuesResults[[#This Row],[Team Number]],RobotDesignResults[Team Number],RobotDesignResults[Communicate 2 (CV)])</f>
        <v>0</v>
      </c>
      <c r="K114" s="12"/>
      <c r="L114" s="12"/>
      <c r="M114" s="12"/>
      <c r="N114" s="12"/>
      <c r="O114" s="12"/>
      <c r="P114" s="12"/>
      <c r="Q114" s="8"/>
      <c r="R114" s="8"/>
      <c r="S114" s="8"/>
      <c r="T114" s="36">
        <f>SUM(CoreValuesResults[[#This Row],[Project CV 1 - EXPLORE]:[Engineering CV 4 - COMMUNINCATE]],CoreValuesResults[[#This Row],[Gracious Professionalism Score]])</f>
        <v>0</v>
      </c>
      <c r="U114" s="21">
        <f>IF(CoreValuesResults[[#This Row],[Team Number]]&gt;0,MIN(_xlfn.RANK.EQ(CoreValuesResults[[#This Row],[Core Values Score]],CoreValuesResults[Core Values Score],0),NumberOfTeams),NumberOfTeams+1)</f>
        <v>9</v>
      </c>
      <c r="V114" s="35"/>
      <c r="W114" s="35"/>
    </row>
    <row r="115" spans="1:23" ht="30" customHeight="1" x14ac:dyDescent="0.25">
      <c r="A115" s="8">
        <f>_xlfn.XLOOKUP(114,OfficialTeamList[Row],OfficialTeamList[Team Number],"ERROR",0)</f>
        <v>0</v>
      </c>
      <c r="B115" s="20" t="str">
        <f>_xlfn.XLOOKUP(CoreValuesResults[[#This Row],[Team Number]],OfficialTeamList[Team Number],OfficialTeamList[Team Name],"",0,)</f>
        <v/>
      </c>
      <c r="C115" s="66">
        <f>_xlfn.XLOOKUP(CoreValuesResults[[#This Row],[Team Number]],InnovationProjectResults[Team Number],InnovationProjectResults[Explore 2 (CV)])</f>
        <v>0</v>
      </c>
      <c r="D115" s="66">
        <f>_xlfn.XLOOKUP(CoreValuesResults[[#This Row],[Team Number]],InnovationProjectResults[Team Number],InnovationProjectResults[Ideate 3 (CV)])</f>
        <v>0</v>
      </c>
      <c r="E115" s="66">
        <f>_xlfn.XLOOKUP(CoreValuesResults[[#This Row],[Team Number]],InnovationProjectResults[Team Number],InnovationProjectResults[Implement 1 (CV)])</f>
        <v>0</v>
      </c>
      <c r="F115" s="66">
        <f>_xlfn.XLOOKUP(CoreValuesResults[[#This Row],[Team Number]],InnovationProjectResults[Team Number],InnovationProjectResults[Communicate 2 (CV)])</f>
        <v>0</v>
      </c>
      <c r="G115" s="66">
        <f>_xlfn.XLOOKUP(CoreValuesResults[[#This Row],[Team Number]],RobotDesignResults[Team Number],RobotDesignResults[Identify 2 (CV)])</f>
        <v>0</v>
      </c>
      <c r="H115" s="66">
        <f>_xlfn.XLOOKUP(CoreValuesResults[[#This Row],[Team Number]],RobotDesignResults[Team Number],RobotDesignResults[Iterate 3 (CV)])</f>
        <v>0</v>
      </c>
      <c r="I115" s="66">
        <f>_xlfn.XLOOKUP(CoreValuesResults[[#This Row],[Team Number]],RobotDesignResults[Team Number],RobotDesignResults[Communicate 1 (CV)])</f>
        <v>0</v>
      </c>
      <c r="J115" s="66">
        <f>_xlfn.XLOOKUP(CoreValuesResults[[#This Row],[Team Number]],RobotDesignResults[Team Number],RobotDesignResults[Communicate 2 (CV)])</f>
        <v>0</v>
      </c>
      <c r="K115" s="12"/>
      <c r="L115" s="12"/>
      <c r="M115" s="12"/>
      <c r="N115" s="12"/>
      <c r="O115" s="12"/>
      <c r="P115" s="12"/>
      <c r="Q115" s="8"/>
      <c r="R115" s="8"/>
      <c r="S115" s="8"/>
      <c r="T115" s="36">
        <f>SUM(CoreValuesResults[[#This Row],[Project CV 1 - EXPLORE]:[Engineering CV 4 - COMMUNINCATE]],CoreValuesResults[[#This Row],[Gracious Professionalism Score]])</f>
        <v>0</v>
      </c>
      <c r="U115" s="21">
        <f>IF(CoreValuesResults[[#This Row],[Team Number]]&gt;0,MIN(_xlfn.RANK.EQ(CoreValuesResults[[#This Row],[Core Values Score]],CoreValuesResults[Core Values Score],0),NumberOfTeams),NumberOfTeams+1)</f>
        <v>9</v>
      </c>
      <c r="V115" s="35"/>
      <c r="W115" s="35"/>
    </row>
    <row r="116" spans="1:23" ht="30" customHeight="1" x14ac:dyDescent="0.25">
      <c r="A116" s="8">
        <f>_xlfn.XLOOKUP(115,OfficialTeamList[Row],OfficialTeamList[Team Number],"ERROR",0)</f>
        <v>0</v>
      </c>
      <c r="B116" s="20" t="str">
        <f>_xlfn.XLOOKUP(CoreValuesResults[[#This Row],[Team Number]],OfficialTeamList[Team Number],OfficialTeamList[Team Name],"",0,)</f>
        <v/>
      </c>
      <c r="C116" s="66">
        <f>_xlfn.XLOOKUP(CoreValuesResults[[#This Row],[Team Number]],InnovationProjectResults[Team Number],InnovationProjectResults[Explore 2 (CV)])</f>
        <v>0</v>
      </c>
      <c r="D116" s="66">
        <f>_xlfn.XLOOKUP(CoreValuesResults[[#This Row],[Team Number]],InnovationProjectResults[Team Number],InnovationProjectResults[Ideate 3 (CV)])</f>
        <v>0</v>
      </c>
      <c r="E116" s="66">
        <f>_xlfn.XLOOKUP(CoreValuesResults[[#This Row],[Team Number]],InnovationProjectResults[Team Number],InnovationProjectResults[Implement 1 (CV)])</f>
        <v>0</v>
      </c>
      <c r="F116" s="66">
        <f>_xlfn.XLOOKUP(CoreValuesResults[[#This Row],[Team Number]],InnovationProjectResults[Team Number],InnovationProjectResults[Communicate 2 (CV)])</f>
        <v>0</v>
      </c>
      <c r="G116" s="66">
        <f>_xlfn.XLOOKUP(CoreValuesResults[[#This Row],[Team Number]],RobotDesignResults[Team Number],RobotDesignResults[Identify 2 (CV)])</f>
        <v>0</v>
      </c>
      <c r="H116" s="66">
        <f>_xlfn.XLOOKUP(CoreValuesResults[[#This Row],[Team Number]],RobotDesignResults[Team Number],RobotDesignResults[Iterate 3 (CV)])</f>
        <v>0</v>
      </c>
      <c r="I116" s="66">
        <f>_xlfn.XLOOKUP(CoreValuesResults[[#This Row],[Team Number]],RobotDesignResults[Team Number],RobotDesignResults[Communicate 1 (CV)])</f>
        <v>0</v>
      </c>
      <c r="J116" s="66">
        <f>_xlfn.XLOOKUP(CoreValuesResults[[#This Row],[Team Number]],RobotDesignResults[Team Number],RobotDesignResults[Communicate 2 (CV)])</f>
        <v>0</v>
      </c>
      <c r="K116" s="12"/>
      <c r="L116" s="12"/>
      <c r="M116" s="12"/>
      <c r="N116" s="12"/>
      <c r="O116" s="12"/>
      <c r="P116" s="12"/>
      <c r="Q116" s="8"/>
      <c r="R116" s="8"/>
      <c r="S116" s="8"/>
      <c r="T116" s="36">
        <f>SUM(CoreValuesResults[[#This Row],[Project CV 1 - EXPLORE]:[Engineering CV 4 - COMMUNINCATE]],CoreValuesResults[[#This Row],[Gracious Professionalism Score]])</f>
        <v>0</v>
      </c>
      <c r="U116" s="21">
        <f>IF(CoreValuesResults[[#This Row],[Team Number]]&gt;0,MIN(_xlfn.RANK.EQ(CoreValuesResults[[#This Row],[Core Values Score]],CoreValuesResults[Core Values Score],0),NumberOfTeams),NumberOfTeams+1)</f>
        <v>9</v>
      </c>
      <c r="V116" s="35"/>
      <c r="W116" s="35"/>
    </row>
    <row r="117" spans="1:23" ht="30" customHeight="1" x14ac:dyDescent="0.25">
      <c r="A117" s="8">
        <f>_xlfn.XLOOKUP(116,OfficialTeamList[Row],OfficialTeamList[Team Number],"ERROR",0)</f>
        <v>0</v>
      </c>
      <c r="B117" s="20" t="str">
        <f>_xlfn.XLOOKUP(CoreValuesResults[[#This Row],[Team Number]],OfficialTeamList[Team Number],OfficialTeamList[Team Name],"",0,)</f>
        <v/>
      </c>
      <c r="C117" s="66">
        <f>_xlfn.XLOOKUP(CoreValuesResults[[#This Row],[Team Number]],InnovationProjectResults[Team Number],InnovationProjectResults[Explore 2 (CV)])</f>
        <v>0</v>
      </c>
      <c r="D117" s="66">
        <f>_xlfn.XLOOKUP(CoreValuesResults[[#This Row],[Team Number]],InnovationProjectResults[Team Number],InnovationProjectResults[Ideate 3 (CV)])</f>
        <v>0</v>
      </c>
      <c r="E117" s="66">
        <f>_xlfn.XLOOKUP(CoreValuesResults[[#This Row],[Team Number]],InnovationProjectResults[Team Number],InnovationProjectResults[Implement 1 (CV)])</f>
        <v>0</v>
      </c>
      <c r="F117" s="66">
        <f>_xlfn.XLOOKUP(CoreValuesResults[[#This Row],[Team Number]],InnovationProjectResults[Team Number],InnovationProjectResults[Communicate 2 (CV)])</f>
        <v>0</v>
      </c>
      <c r="G117" s="66">
        <f>_xlfn.XLOOKUP(CoreValuesResults[[#This Row],[Team Number]],RobotDesignResults[Team Number],RobotDesignResults[Identify 2 (CV)])</f>
        <v>0</v>
      </c>
      <c r="H117" s="66">
        <f>_xlfn.XLOOKUP(CoreValuesResults[[#This Row],[Team Number]],RobotDesignResults[Team Number],RobotDesignResults[Iterate 3 (CV)])</f>
        <v>0</v>
      </c>
      <c r="I117" s="66">
        <f>_xlfn.XLOOKUP(CoreValuesResults[[#This Row],[Team Number]],RobotDesignResults[Team Number],RobotDesignResults[Communicate 1 (CV)])</f>
        <v>0</v>
      </c>
      <c r="J117" s="66">
        <f>_xlfn.XLOOKUP(CoreValuesResults[[#This Row],[Team Number]],RobotDesignResults[Team Number],RobotDesignResults[Communicate 2 (CV)])</f>
        <v>0</v>
      </c>
      <c r="K117" s="12"/>
      <c r="L117" s="12"/>
      <c r="M117" s="12"/>
      <c r="N117" s="12"/>
      <c r="O117" s="12"/>
      <c r="P117" s="12"/>
      <c r="Q117" s="8"/>
      <c r="R117" s="8"/>
      <c r="S117" s="8"/>
      <c r="T117" s="36">
        <f>SUM(CoreValuesResults[[#This Row],[Project CV 1 - EXPLORE]:[Engineering CV 4 - COMMUNINCATE]],CoreValuesResults[[#This Row],[Gracious Professionalism Score]])</f>
        <v>0</v>
      </c>
      <c r="U117" s="21">
        <f>IF(CoreValuesResults[[#This Row],[Team Number]]&gt;0,MIN(_xlfn.RANK.EQ(CoreValuesResults[[#This Row],[Core Values Score]],CoreValuesResults[Core Values Score],0),NumberOfTeams),NumberOfTeams+1)</f>
        <v>9</v>
      </c>
      <c r="V117" s="35"/>
      <c r="W117" s="35"/>
    </row>
    <row r="118" spans="1:23" ht="30" customHeight="1" x14ac:dyDescent="0.25">
      <c r="A118" s="8">
        <f>_xlfn.XLOOKUP(117,OfficialTeamList[Row],OfficialTeamList[Team Number],"ERROR",0)</f>
        <v>0</v>
      </c>
      <c r="B118" s="20" t="str">
        <f>_xlfn.XLOOKUP(CoreValuesResults[[#This Row],[Team Number]],OfficialTeamList[Team Number],OfficialTeamList[Team Name],"",0,)</f>
        <v/>
      </c>
      <c r="C118" s="66">
        <f>_xlfn.XLOOKUP(CoreValuesResults[[#This Row],[Team Number]],InnovationProjectResults[Team Number],InnovationProjectResults[Explore 2 (CV)])</f>
        <v>0</v>
      </c>
      <c r="D118" s="66">
        <f>_xlfn.XLOOKUP(CoreValuesResults[[#This Row],[Team Number]],InnovationProjectResults[Team Number],InnovationProjectResults[Ideate 3 (CV)])</f>
        <v>0</v>
      </c>
      <c r="E118" s="66">
        <f>_xlfn.XLOOKUP(CoreValuesResults[[#This Row],[Team Number]],InnovationProjectResults[Team Number],InnovationProjectResults[Implement 1 (CV)])</f>
        <v>0</v>
      </c>
      <c r="F118" s="66">
        <f>_xlfn.XLOOKUP(CoreValuesResults[[#This Row],[Team Number]],InnovationProjectResults[Team Number],InnovationProjectResults[Communicate 2 (CV)])</f>
        <v>0</v>
      </c>
      <c r="G118" s="66">
        <f>_xlfn.XLOOKUP(CoreValuesResults[[#This Row],[Team Number]],RobotDesignResults[Team Number],RobotDesignResults[Identify 2 (CV)])</f>
        <v>0</v>
      </c>
      <c r="H118" s="66">
        <f>_xlfn.XLOOKUP(CoreValuesResults[[#This Row],[Team Number]],RobotDesignResults[Team Number],RobotDesignResults[Iterate 3 (CV)])</f>
        <v>0</v>
      </c>
      <c r="I118" s="66">
        <f>_xlfn.XLOOKUP(CoreValuesResults[[#This Row],[Team Number]],RobotDesignResults[Team Number],RobotDesignResults[Communicate 1 (CV)])</f>
        <v>0</v>
      </c>
      <c r="J118" s="66">
        <f>_xlfn.XLOOKUP(CoreValuesResults[[#This Row],[Team Number]],RobotDesignResults[Team Number],RobotDesignResults[Communicate 2 (CV)])</f>
        <v>0</v>
      </c>
      <c r="K118" s="12"/>
      <c r="L118" s="12"/>
      <c r="M118" s="12"/>
      <c r="N118" s="12"/>
      <c r="O118" s="12"/>
      <c r="P118" s="12"/>
      <c r="Q118" s="8"/>
      <c r="R118" s="8"/>
      <c r="S118" s="8"/>
      <c r="T118" s="36">
        <f>SUM(CoreValuesResults[[#This Row],[Project CV 1 - EXPLORE]:[Engineering CV 4 - COMMUNINCATE]],CoreValuesResults[[#This Row],[Gracious Professionalism Score]])</f>
        <v>0</v>
      </c>
      <c r="U118" s="21">
        <f>IF(CoreValuesResults[[#This Row],[Team Number]]&gt;0,MIN(_xlfn.RANK.EQ(CoreValuesResults[[#This Row],[Core Values Score]],CoreValuesResults[Core Values Score],0),NumberOfTeams),NumberOfTeams+1)</f>
        <v>9</v>
      </c>
      <c r="V118" s="35"/>
      <c r="W118" s="35"/>
    </row>
    <row r="119" spans="1:23" ht="30" customHeight="1" x14ac:dyDescent="0.25">
      <c r="A119" s="8">
        <f>_xlfn.XLOOKUP(118,OfficialTeamList[Row],OfficialTeamList[Team Number],"ERROR",0)</f>
        <v>0</v>
      </c>
      <c r="B119" s="20" t="str">
        <f>_xlfn.XLOOKUP(CoreValuesResults[[#This Row],[Team Number]],OfficialTeamList[Team Number],OfficialTeamList[Team Name],"",0,)</f>
        <v/>
      </c>
      <c r="C119" s="66">
        <f>_xlfn.XLOOKUP(CoreValuesResults[[#This Row],[Team Number]],InnovationProjectResults[Team Number],InnovationProjectResults[Explore 2 (CV)])</f>
        <v>0</v>
      </c>
      <c r="D119" s="66">
        <f>_xlfn.XLOOKUP(CoreValuesResults[[#This Row],[Team Number]],InnovationProjectResults[Team Number],InnovationProjectResults[Ideate 3 (CV)])</f>
        <v>0</v>
      </c>
      <c r="E119" s="66">
        <f>_xlfn.XLOOKUP(CoreValuesResults[[#This Row],[Team Number]],InnovationProjectResults[Team Number],InnovationProjectResults[Implement 1 (CV)])</f>
        <v>0</v>
      </c>
      <c r="F119" s="66">
        <f>_xlfn.XLOOKUP(CoreValuesResults[[#This Row],[Team Number]],InnovationProjectResults[Team Number],InnovationProjectResults[Communicate 2 (CV)])</f>
        <v>0</v>
      </c>
      <c r="G119" s="66">
        <f>_xlfn.XLOOKUP(CoreValuesResults[[#This Row],[Team Number]],RobotDesignResults[Team Number],RobotDesignResults[Identify 2 (CV)])</f>
        <v>0</v>
      </c>
      <c r="H119" s="66">
        <f>_xlfn.XLOOKUP(CoreValuesResults[[#This Row],[Team Number]],RobotDesignResults[Team Number],RobotDesignResults[Iterate 3 (CV)])</f>
        <v>0</v>
      </c>
      <c r="I119" s="66">
        <f>_xlfn.XLOOKUP(CoreValuesResults[[#This Row],[Team Number]],RobotDesignResults[Team Number],RobotDesignResults[Communicate 1 (CV)])</f>
        <v>0</v>
      </c>
      <c r="J119" s="66">
        <f>_xlfn.XLOOKUP(CoreValuesResults[[#This Row],[Team Number]],RobotDesignResults[Team Number],RobotDesignResults[Communicate 2 (CV)])</f>
        <v>0</v>
      </c>
      <c r="K119" s="12"/>
      <c r="L119" s="12"/>
      <c r="M119" s="12"/>
      <c r="N119" s="12"/>
      <c r="O119" s="12"/>
      <c r="P119" s="12"/>
      <c r="Q119" s="8"/>
      <c r="R119" s="8"/>
      <c r="S119" s="8"/>
      <c r="T119" s="36">
        <f>SUM(CoreValuesResults[[#This Row],[Project CV 1 - EXPLORE]:[Engineering CV 4 - COMMUNINCATE]],CoreValuesResults[[#This Row],[Gracious Professionalism Score]])</f>
        <v>0</v>
      </c>
      <c r="U119" s="21">
        <f>IF(CoreValuesResults[[#This Row],[Team Number]]&gt;0,MIN(_xlfn.RANK.EQ(CoreValuesResults[[#This Row],[Core Values Score]],CoreValuesResults[Core Values Score],0),NumberOfTeams),NumberOfTeams+1)</f>
        <v>9</v>
      </c>
      <c r="V119" s="35"/>
      <c r="W119" s="35"/>
    </row>
    <row r="120" spans="1:23" ht="30" customHeight="1" x14ac:dyDescent="0.25">
      <c r="A120" s="8">
        <f>_xlfn.XLOOKUP(119,OfficialTeamList[Row],OfficialTeamList[Team Number],"ERROR",0)</f>
        <v>0</v>
      </c>
      <c r="B120" s="20" t="str">
        <f>_xlfn.XLOOKUP(CoreValuesResults[[#This Row],[Team Number]],OfficialTeamList[Team Number],OfficialTeamList[Team Name],"",0,)</f>
        <v/>
      </c>
      <c r="C120" s="66">
        <f>_xlfn.XLOOKUP(CoreValuesResults[[#This Row],[Team Number]],InnovationProjectResults[Team Number],InnovationProjectResults[Explore 2 (CV)])</f>
        <v>0</v>
      </c>
      <c r="D120" s="66">
        <f>_xlfn.XLOOKUP(CoreValuesResults[[#This Row],[Team Number]],InnovationProjectResults[Team Number],InnovationProjectResults[Ideate 3 (CV)])</f>
        <v>0</v>
      </c>
      <c r="E120" s="66">
        <f>_xlfn.XLOOKUP(CoreValuesResults[[#This Row],[Team Number]],InnovationProjectResults[Team Number],InnovationProjectResults[Implement 1 (CV)])</f>
        <v>0</v>
      </c>
      <c r="F120" s="66">
        <f>_xlfn.XLOOKUP(CoreValuesResults[[#This Row],[Team Number]],InnovationProjectResults[Team Number],InnovationProjectResults[Communicate 2 (CV)])</f>
        <v>0</v>
      </c>
      <c r="G120" s="66">
        <f>_xlfn.XLOOKUP(CoreValuesResults[[#This Row],[Team Number]],RobotDesignResults[Team Number],RobotDesignResults[Identify 2 (CV)])</f>
        <v>0</v>
      </c>
      <c r="H120" s="66">
        <f>_xlfn.XLOOKUP(CoreValuesResults[[#This Row],[Team Number]],RobotDesignResults[Team Number],RobotDesignResults[Iterate 3 (CV)])</f>
        <v>0</v>
      </c>
      <c r="I120" s="66">
        <f>_xlfn.XLOOKUP(CoreValuesResults[[#This Row],[Team Number]],RobotDesignResults[Team Number],RobotDesignResults[Communicate 1 (CV)])</f>
        <v>0</v>
      </c>
      <c r="J120" s="66">
        <f>_xlfn.XLOOKUP(CoreValuesResults[[#This Row],[Team Number]],RobotDesignResults[Team Number],RobotDesignResults[Communicate 2 (CV)])</f>
        <v>0</v>
      </c>
      <c r="K120" s="12"/>
      <c r="L120" s="12"/>
      <c r="M120" s="12"/>
      <c r="N120" s="12"/>
      <c r="O120" s="12"/>
      <c r="P120" s="12"/>
      <c r="Q120" s="8"/>
      <c r="R120" s="8"/>
      <c r="S120" s="8"/>
      <c r="T120" s="36">
        <f>SUM(CoreValuesResults[[#This Row],[Project CV 1 - EXPLORE]:[Engineering CV 4 - COMMUNINCATE]],CoreValuesResults[[#This Row],[Gracious Professionalism Score]])</f>
        <v>0</v>
      </c>
      <c r="U120" s="21">
        <f>IF(CoreValuesResults[[#This Row],[Team Number]]&gt;0,MIN(_xlfn.RANK.EQ(CoreValuesResults[[#This Row],[Core Values Score]],CoreValuesResults[Core Values Score],0),NumberOfTeams),NumberOfTeams+1)</f>
        <v>9</v>
      </c>
      <c r="V120" s="35"/>
      <c r="W120" s="35"/>
    </row>
    <row r="121" spans="1:23" ht="30" customHeight="1" x14ac:dyDescent="0.25">
      <c r="A121" s="8">
        <f>_xlfn.XLOOKUP(120,OfficialTeamList[Row],OfficialTeamList[Team Number],"ERROR",0)</f>
        <v>0</v>
      </c>
      <c r="B121" s="20" t="str">
        <f>_xlfn.XLOOKUP(CoreValuesResults[[#This Row],[Team Number]],OfficialTeamList[Team Number],OfficialTeamList[Team Name],"",0,)</f>
        <v/>
      </c>
      <c r="C121" s="66">
        <f>_xlfn.XLOOKUP(CoreValuesResults[[#This Row],[Team Number]],InnovationProjectResults[Team Number],InnovationProjectResults[Explore 2 (CV)])</f>
        <v>0</v>
      </c>
      <c r="D121" s="66">
        <f>_xlfn.XLOOKUP(CoreValuesResults[[#This Row],[Team Number]],InnovationProjectResults[Team Number],InnovationProjectResults[Ideate 3 (CV)])</f>
        <v>0</v>
      </c>
      <c r="E121" s="66">
        <f>_xlfn.XLOOKUP(CoreValuesResults[[#This Row],[Team Number]],InnovationProjectResults[Team Number],InnovationProjectResults[Implement 1 (CV)])</f>
        <v>0</v>
      </c>
      <c r="F121" s="66">
        <f>_xlfn.XLOOKUP(CoreValuesResults[[#This Row],[Team Number]],InnovationProjectResults[Team Number],InnovationProjectResults[Communicate 2 (CV)])</f>
        <v>0</v>
      </c>
      <c r="G121" s="66">
        <f>_xlfn.XLOOKUP(CoreValuesResults[[#This Row],[Team Number]],RobotDesignResults[Team Number],RobotDesignResults[Identify 2 (CV)])</f>
        <v>0</v>
      </c>
      <c r="H121" s="66">
        <f>_xlfn.XLOOKUP(CoreValuesResults[[#This Row],[Team Number]],RobotDesignResults[Team Number],RobotDesignResults[Iterate 3 (CV)])</f>
        <v>0</v>
      </c>
      <c r="I121" s="66">
        <f>_xlfn.XLOOKUP(CoreValuesResults[[#This Row],[Team Number]],RobotDesignResults[Team Number],RobotDesignResults[Communicate 1 (CV)])</f>
        <v>0</v>
      </c>
      <c r="J121" s="66">
        <f>_xlfn.XLOOKUP(CoreValuesResults[[#This Row],[Team Number]],RobotDesignResults[Team Number],RobotDesignResults[Communicate 2 (CV)])</f>
        <v>0</v>
      </c>
      <c r="K121" s="12"/>
      <c r="L121" s="12"/>
      <c r="M121" s="12"/>
      <c r="N121" s="12"/>
      <c r="O121" s="12"/>
      <c r="P121" s="12"/>
      <c r="Q121" s="8"/>
      <c r="R121" s="8"/>
      <c r="S121" s="8"/>
      <c r="T121" s="36">
        <f>SUM(CoreValuesResults[[#This Row],[Project CV 1 - EXPLORE]:[Engineering CV 4 - COMMUNINCATE]],CoreValuesResults[[#This Row],[Gracious Professionalism Score]])</f>
        <v>0</v>
      </c>
      <c r="U121" s="21">
        <f>IF(CoreValuesResults[[#This Row],[Team Number]]&gt;0,MIN(_xlfn.RANK.EQ(CoreValuesResults[[#This Row],[Core Values Score]],CoreValuesResults[Core Values Score],0),NumberOfTeams),NumberOfTeams+1)</f>
        <v>9</v>
      </c>
      <c r="V121" s="35"/>
      <c r="W121" s="35"/>
    </row>
    <row r="122" spans="1:23" ht="30" customHeight="1" x14ac:dyDescent="0.25">
      <c r="A122" s="8">
        <f>_xlfn.XLOOKUP(121,OfficialTeamList[Row],OfficialTeamList[Team Number],"ERROR",0)</f>
        <v>0</v>
      </c>
      <c r="B122" s="20" t="str">
        <f>_xlfn.XLOOKUP(CoreValuesResults[[#This Row],[Team Number]],OfficialTeamList[Team Number],OfficialTeamList[Team Name],"",0,)</f>
        <v/>
      </c>
      <c r="C122" s="66">
        <f>_xlfn.XLOOKUP(CoreValuesResults[[#This Row],[Team Number]],InnovationProjectResults[Team Number],InnovationProjectResults[Explore 2 (CV)])</f>
        <v>0</v>
      </c>
      <c r="D122" s="66">
        <f>_xlfn.XLOOKUP(CoreValuesResults[[#This Row],[Team Number]],InnovationProjectResults[Team Number],InnovationProjectResults[Ideate 3 (CV)])</f>
        <v>0</v>
      </c>
      <c r="E122" s="66">
        <f>_xlfn.XLOOKUP(CoreValuesResults[[#This Row],[Team Number]],InnovationProjectResults[Team Number],InnovationProjectResults[Implement 1 (CV)])</f>
        <v>0</v>
      </c>
      <c r="F122" s="66">
        <f>_xlfn.XLOOKUP(CoreValuesResults[[#This Row],[Team Number]],InnovationProjectResults[Team Number],InnovationProjectResults[Communicate 2 (CV)])</f>
        <v>0</v>
      </c>
      <c r="G122" s="66">
        <f>_xlfn.XLOOKUP(CoreValuesResults[[#This Row],[Team Number]],RobotDesignResults[Team Number],RobotDesignResults[Identify 2 (CV)])</f>
        <v>0</v>
      </c>
      <c r="H122" s="66">
        <f>_xlfn.XLOOKUP(CoreValuesResults[[#This Row],[Team Number]],RobotDesignResults[Team Number],RobotDesignResults[Iterate 3 (CV)])</f>
        <v>0</v>
      </c>
      <c r="I122" s="66">
        <f>_xlfn.XLOOKUP(CoreValuesResults[[#This Row],[Team Number]],RobotDesignResults[Team Number],RobotDesignResults[Communicate 1 (CV)])</f>
        <v>0</v>
      </c>
      <c r="J122" s="66">
        <f>_xlfn.XLOOKUP(CoreValuesResults[[#This Row],[Team Number]],RobotDesignResults[Team Number],RobotDesignResults[Communicate 2 (CV)])</f>
        <v>0</v>
      </c>
      <c r="K122" s="12"/>
      <c r="L122" s="12"/>
      <c r="M122" s="12"/>
      <c r="N122" s="12"/>
      <c r="O122" s="12"/>
      <c r="P122" s="12"/>
      <c r="Q122" s="8"/>
      <c r="R122" s="8"/>
      <c r="S122" s="8"/>
      <c r="T122" s="36">
        <f>SUM(CoreValuesResults[[#This Row],[Project CV 1 - EXPLORE]:[Engineering CV 4 - COMMUNINCATE]],CoreValuesResults[[#This Row],[Gracious Professionalism Score]])</f>
        <v>0</v>
      </c>
      <c r="U122" s="21">
        <f>IF(CoreValuesResults[[#This Row],[Team Number]]&gt;0,MIN(_xlfn.RANK.EQ(CoreValuesResults[[#This Row],[Core Values Score]],CoreValuesResults[Core Values Score],0),NumberOfTeams),NumberOfTeams+1)</f>
        <v>9</v>
      </c>
      <c r="V122" s="35"/>
      <c r="W122" s="35"/>
    </row>
    <row r="123" spans="1:23" ht="30" customHeight="1" x14ac:dyDescent="0.25">
      <c r="A123" s="8">
        <f>_xlfn.XLOOKUP(122,OfficialTeamList[Row],OfficialTeamList[Team Number],"ERROR",0)</f>
        <v>0</v>
      </c>
      <c r="B123" s="20" t="str">
        <f>_xlfn.XLOOKUP(CoreValuesResults[[#This Row],[Team Number]],OfficialTeamList[Team Number],OfficialTeamList[Team Name],"",0,)</f>
        <v/>
      </c>
      <c r="C123" s="66">
        <f>_xlfn.XLOOKUP(CoreValuesResults[[#This Row],[Team Number]],InnovationProjectResults[Team Number],InnovationProjectResults[Explore 2 (CV)])</f>
        <v>0</v>
      </c>
      <c r="D123" s="66">
        <f>_xlfn.XLOOKUP(CoreValuesResults[[#This Row],[Team Number]],InnovationProjectResults[Team Number],InnovationProjectResults[Ideate 3 (CV)])</f>
        <v>0</v>
      </c>
      <c r="E123" s="66">
        <f>_xlfn.XLOOKUP(CoreValuesResults[[#This Row],[Team Number]],InnovationProjectResults[Team Number],InnovationProjectResults[Implement 1 (CV)])</f>
        <v>0</v>
      </c>
      <c r="F123" s="66">
        <f>_xlfn.XLOOKUP(CoreValuesResults[[#This Row],[Team Number]],InnovationProjectResults[Team Number],InnovationProjectResults[Communicate 2 (CV)])</f>
        <v>0</v>
      </c>
      <c r="G123" s="66">
        <f>_xlfn.XLOOKUP(CoreValuesResults[[#This Row],[Team Number]],RobotDesignResults[Team Number],RobotDesignResults[Identify 2 (CV)])</f>
        <v>0</v>
      </c>
      <c r="H123" s="66">
        <f>_xlfn.XLOOKUP(CoreValuesResults[[#This Row],[Team Number]],RobotDesignResults[Team Number],RobotDesignResults[Iterate 3 (CV)])</f>
        <v>0</v>
      </c>
      <c r="I123" s="66">
        <f>_xlfn.XLOOKUP(CoreValuesResults[[#This Row],[Team Number]],RobotDesignResults[Team Number],RobotDesignResults[Communicate 1 (CV)])</f>
        <v>0</v>
      </c>
      <c r="J123" s="66">
        <f>_xlfn.XLOOKUP(CoreValuesResults[[#This Row],[Team Number]],RobotDesignResults[Team Number],RobotDesignResults[Communicate 2 (CV)])</f>
        <v>0</v>
      </c>
      <c r="K123" s="12"/>
      <c r="L123" s="12"/>
      <c r="M123" s="12"/>
      <c r="N123" s="12"/>
      <c r="O123" s="12"/>
      <c r="P123" s="12"/>
      <c r="Q123" s="8"/>
      <c r="R123" s="8"/>
      <c r="S123" s="8"/>
      <c r="T123" s="36">
        <f>SUM(CoreValuesResults[[#This Row],[Project CV 1 - EXPLORE]:[Engineering CV 4 - COMMUNINCATE]],CoreValuesResults[[#This Row],[Gracious Professionalism Score]])</f>
        <v>0</v>
      </c>
      <c r="U123" s="21">
        <f>IF(CoreValuesResults[[#This Row],[Team Number]]&gt;0,MIN(_xlfn.RANK.EQ(CoreValuesResults[[#This Row],[Core Values Score]],CoreValuesResults[Core Values Score],0),NumberOfTeams),NumberOfTeams+1)</f>
        <v>9</v>
      </c>
      <c r="V123" s="35"/>
      <c r="W123" s="35"/>
    </row>
    <row r="124" spans="1:23" ht="30" customHeight="1" x14ac:dyDescent="0.25">
      <c r="A124" s="8">
        <f>_xlfn.XLOOKUP(123,OfficialTeamList[Row],OfficialTeamList[Team Number],"ERROR",0)</f>
        <v>0</v>
      </c>
      <c r="B124" s="20" t="str">
        <f>_xlfn.XLOOKUP(CoreValuesResults[[#This Row],[Team Number]],OfficialTeamList[Team Number],OfficialTeamList[Team Name],"",0,)</f>
        <v/>
      </c>
      <c r="C124" s="66">
        <f>_xlfn.XLOOKUP(CoreValuesResults[[#This Row],[Team Number]],InnovationProjectResults[Team Number],InnovationProjectResults[Explore 2 (CV)])</f>
        <v>0</v>
      </c>
      <c r="D124" s="66">
        <f>_xlfn.XLOOKUP(CoreValuesResults[[#This Row],[Team Number]],InnovationProjectResults[Team Number],InnovationProjectResults[Ideate 3 (CV)])</f>
        <v>0</v>
      </c>
      <c r="E124" s="66">
        <f>_xlfn.XLOOKUP(CoreValuesResults[[#This Row],[Team Number]],InnovationProjectResults[Team Number],InnovationProjectResults[Implement 1 (CV)])</f>
        <v>0</v>
      </c>
      <c r="F124" s="66">
        <f>_xlfn.XLOOKUP(CoreValuesResults[[#This Row],[Team Number]],InnovationProjectResults[Team Number],InnovationProjectResults[Communicate 2 (CV)])</f>
        <v>0</v>
      </c>
      <c r="G124" s="66">
        <f>_xlfn.XLOOKUP(CoreValuesResults[[#This Row],[Team Number]],RobotDesignResults[Team Number],RobotDesignResults[Identify 2 (CV)])</f>
        <v>0</v>
      </c>
      <c r="H124" s="66">
        <f>_xlfn.XLOOKUP(CoreValuesResults[[#This Row],[Team Number]],RobotDesignResults[Team Number],RobotDesignResults[Iterate 3 (CV)])</f>
        <v>0</v>
      </c>
      <c r="I124" s="66">
        <f>_xlfn.XLOOKUP(CoreValuesResults[[#This Row],[Team Number]],RobotDesignResults[Team Number],RobotDesignResults[Communicate 1 (CV)])</f>
        <v>0</v>
      </c>
      <c r="J124" s="66">
        <f>_xlfn.XLOOKUP(CoreValuesResults[[#This Row],[Team Number]],RobotDesignResults[Team Number],RobotDesignResults[Communicate 2 (CV)])</f>
        <v>0</v>
      </c>
      <c r="K124" s="12"/>
      <c r="L124" s="12"/>
      <c r="M124" s="12"/>
      <c r="N124" s="12"/>
      <c r="O124" s="12"/>
      <c r="P124" s="12"/>
      <c r="Q124" s="8"/>
      <c r="R124" s="8"/>
      <c r="S124" s="8"/>
      <c r="T124" s="36">
        <f>SUM(CoreValuesResults[[#This Row],[Project CV 1 - EXPLORE]:[Engineering CV 4 - COMMUNINCATE]],CoreValuesResults[[#This Row],[Gracious Professionalism Score]])</f>
        <v>0</v>
      </c>
      <c r="U124" s="21">
        <f>IF(CoreValuesResults[[#This Row],[Team Number]]&gt;0,MIN(_xlfn.RANK.EQ(CoreValuesResults[[#This Row],[Core Values Score]],CoreValuesResults[Core Values Score],0),NumberOfTeams),NumberOfTeams+1)</f>
        <v>9</v>
      </c>
      <c r="V124" s="35"/>
      <c r="W124" s="35"/>
    </row>
    <row r="125" spans="1:23" ht="30" customHeight="1" x14ac:dyDescent="0.25">
      <c r="A125" s="8">
        <f>_xlfn.XLOOKUP(124,OfficialTeamList[Row],OfficialTeamList[Team Number],"ERROR",0)</f>
        <v>0</v>
      </c>
      <c r="B125" s="20" t="str">
        <f>_xlfn.XLOOKUP(CoreValuesResults[[#This Row],[Team Number]],OfficialTeamList[Team Number],OfficialTeamList[Team Name],"",0,)</f>
        <v/>
      </c>
      <c r="C125" s="66">
        <f>_xlfn.XLOOKUP(CoreValuesResults[[#This Row],[Team Number]],InnovationProjectResults[Team Number],InnovationProjectResults[Explore 2 (CV)])</f>
        <v>0</v>
      </c>
      <c r="D125" s="66">
        <f>_xlfn.XLOOKUP(CoreValuesResults[[#This Row],[Team Number]],InnovationProjectResults[Team Number],InnovationProjectResults[Ideate 3 (CV)])</f>
        <v>0</v>
      </c>
      <c r="E125" s="66">
        <f>_xlfn.XLOOKUP(CoreValuesResults[[#This Row],[Team Number]],InnovationProjectResults[Team Number],InnovationProjectResults[Implement 1 (CV)])</f>
        <v>0</v>
      </c>
      <c r="F125" s="66">
        <f>_xlfn.XLOOKUP(CoreValuesResults[[#This Row],[Team Number]],InnovationProjectResults[Team Number],InnovationProjectResults[Communicate 2 (CV)])</f>
        <v>0</v>
      </c>
      <c r="G125" s="66">
        <f>_xlfn.XLOOKUP(CoreValuesResults[[#This Row],[Team Number]],RobotDesignResults[Team Number],RobotDesignResults[Identify 2 (CV)])</f>
        <v>0</v>
      </c>
      <c r="H125" s="66">
        <f>_xlfn.XLOOKUP(CoreValuesResults[[#This Row],[Team Number]],RobotDesignResults[Team Number],RobotDesignResults[Iterate 3 (CV)])</f>
        <v>0</v>
      </c>
      <c r="I125" s="66">
        <f>_xlfn.XLOOKUP(CoreValuesResults[[#This Row],[Team Number]],RobotDesignResults[Team Number],RobotDesignResults[Communicate 1 (CV)])</f>
        <v>0</v>
      </c>
      <c r="J125" s="66">
        <f>_xlfn.XLOOKUP(CoreValuesResults[[#This Row],[Team Number]],RobotDesignResults[Team Number],RobotDesignResults[Communicate 2 (CV)])</f>
        <v>0</v>
      </c>
      <c r="K125" s="12"/>
      <c r="L125" s="12"/>
      <c r="M125" s="12"/>
      <c r="N125" s="12"/>
      <c r="O125" s="12"/>
      <c r="P125" s="12"/>
      <c r="Q125" s="8"/>
      <c r="R125" s="8"/>
      <c r="S125" s="8"/>
      <c r="T125" s="36">
        <f>SUM(CoreValuesResults[[#This Row],[Project CV 1 - EXPLORE]:[Engineering CV 4 - COMMUNINCATE]],CoreValuesResults[[#This Row],[Gracious Professionalism Score]])</f>
        <v>0</v>
      </c>
      <c r="U125" s="21">
        <f>IF(CoreValuesResults[[#This Row],[Team Number]]&gt;0,MIN(_xlfn.RANK.EQ(CoreValuesResults[[#This Row],[Core Values Score]],CoreValuesResults[Core Values Score],0),NumberOfTeams),NumberOfTeams+1)</f>
        <v>9</v>
      </c>
      <c r="V125" s="35"/>
      <c r="W125" s="35"/>
    </row>
    <row r="126" spans="1:23" ht="30" customHeight="1" x14ac:dyDescent="0.25">
      <c r="A126" s="8">
        <f>_xlfn.XLOOKUP(125,OfficialTeamList[Row],OfficialTeamList[Team Number],"ERROR",0)</f>
        <v>0</v>
      </c>
      <c r="B126" s="20" t="str">
        <f>_xlfn.XLOOKUP(CoreValuesResults[[#This Row],[Team Number]],OfficialTeamList[Team Number],OfficialTeamList[Team Name],"",0,)</f>
        <v/>
      </c>
      <c r="C126" s="66">
        <f>_xlfn.XLOOKUP(CoreValuesResults[[#This Row],[Team Number]],InnovationProjectResults[Team Number],InnovationProjectResults[Explore 2 (CV)])</f>
        <v>0</v>
      </c>
      <c r="D126" s="66">
        <f>_xlfn.XLOOKUP(CoreValuesResults[[#This Row],[Team Number]],InnovationProjectResults[Team Number],InnovationProjectResults[Ideate 3 (CV)])</f>
        <v>0</v>
      </c>
      <c r="E126" s="66">
        <f>_xlfn.XLOOKUP(CoreValuesResults[[#This Row],[Team Number]],InnovationProjectResults[Team Number],InnovationProjectResults[Implement 1 (CV)])</f>
        <v>0</v>
      </c>
      <c r="F126" s="66">
        <f>_xlfn.XLOOKUP(CoreValuesResults[[#This Row],[Team Number]],InnovationProjectResults[Team Number],InnovationProjectResults[Communicate 2 (CV)])</f>
        <v>0</v>
      </c>
      <c r="G126" s="66">
        <f>_xlfn.XLOOKUP(CoreValuesResults[[#This Row],[Team Number]],RobotDesignResults[Team Number],RobotDesignResults[Identify 2 (CV)])</f>
        <v>0</v>
      </c>
      <c r="H126" s="66">
        <f>_xlfn.XLOOKUP(CoreValuesResults[[#This Row],[Team Number]],RobotDesignResults[Team Number],RobotDesignResults[Iterate 3 (CV)])</f>
        <v>0</v>
      </c>
      <c r="I126" s="66">
        <f>_xlfn.XLOOKUP(CoreValuesResults[[#This Row],[Team Number]],RobotDesignResults[Team Number],RobotDesignResults[Communicate 1 (CV)])</f>
        <v>0</v>
      </c>
      <c r="J126" s="66">
        <f>_xlfn.XLOOKUP(CoreValuesResults[[#This Row],[Team Number]],RobotDesignResults[Team Number],RobotDesignResults[Communicate 2 (CV)])</f>
        <v>0</v>
      </c>
      <c r="K126" s="12"/>
      <c r="L126" s="12"/>
      <c r="M126" s="12"/>
      <c r="N126" s="12"/>
      <c r="O126" s="12"/>
      <c r="P126" s="12"/>
      <c r="Q126" s="8"/>
      <c r="R126" s="8"/>
      <c r="S126" s="8"/>
      <c r="T126" s="36">
        <f>SUM(CoreValuesResults[[#This Row],[Project CV 1 - EXPLORE]:[Engineering CV 4 - COMMUNINCATE]],CoreValuesResults[[#This Row],[Gracious Professionalism Score]])</f>
        <v>0</v>
      </c>
      <c r="U126" s="21">
        <f>IF(CoreValuesResults[[#This Row],[Team Number]]&gt;0,MIN(_xlfn.RANK.EQ(CoreValuesResults[[#This Row],[Core Values Score]],CoreValuesResults[Core Values Score],0),NumberOfTeams),NumberOfTeams+1)</f>
        <v>9</v>
      </c>
      <c r="V126" s="35"/>
      <c r="W126" s="35"/>
    </row>
    <row r="127" spans="1:23" ht="30" customHeight="1" x14ac:dyDescent="0.25">
      <c r="A127" s="8">
        <f>_xlfn.XLOOKUP(126,OfficialTeamList[Row],OfficialTeamList[Team Number],"ERROR",0)</f>
        <v>0</v>
      </c>
      <c r="B127" s="20" t="str">
        <f>_xlfn.XLOOKUP(CoreValuesResults[[#This Row],[Team Number]],OfficialTeamList[Team Number],OfficialTeamList[Team Name],"",0,)</f>
        <v/>
      </c>
      <c r="C127" s="66">
        <f>_xlfn.XLOOKUP(CoreValuesResults[[#This Row],[Team Number]],InnovationProjectResults[Team Number],InnovationProjectResults[Explore 2 (CV)])</f>
        <v>0</v>
      </c>
      <c r="D127" s="66">
        <f>_xlfn.XLOOKUP(CoreValuesResults[[#This Row],[Team Number]],InnovationProjectResults[Team Number],InnovationProjectResults[Ideate 3 (CV)])</f>
        <v>0</v>
      </c>
      <c r="E127" s="66">
        <f>_xlfn.XLOOKUP(CoreValuesResults[[#This Row],[Team Number]],InnovationProjectResults[Team Number],InnovationProjectResults[Implement 1 (CV)])</f>
        <v>0</v>
      </c>
      <c r="F127" s="66">
        <f>_xlfn.XLOOKUP(CoreValuesResults[[#This Row],[Team Number]],InnovationProjectResults[Team Number],InnovationProjectResults[Communicate 2 (CV)])</f>
        <v>0</v>
      </c>
      <c r="G127" s="66">
        <f>_xlfn.XLOOKUP(CoreValuesResults[[#This Row],[Team Number]],RobotDesignResults[Team Number],RobotDesignResults[Identify 2 (CV)])</f>
        <v>0</v>
      </c>
      <c r="H127" s="66">
        <f>_xlfn.XLOOKUP(CoreValuesResults[[#This Row],[Team Number]],RobotDesignResults[Team Number],RobotDesignResults[Iterate 3 (CV)])</f>
        <v>0</v>
      </c>
      <c r="I127" s="66">
        <f>_xlfn.XLOOKUP(CoreValuesResults[[#This Row],[Team Number]],RobotDesignResults[Team Number],RobotDesignResults[Communicate 1 (CV)])</f>
        <v>0</v>
      </c>
      <c r="J127" s="66">
        <f>_xlfn.XLOOKUP(CoreValuesResults[[#This Row],[Team Number]],RobotDesignResults[Team Number],RobotDesignResults[Communicate 2 (CV)])</f>
        <v>0</v>
      </c>
      <c r="K127" s="12"/>
      <c r="L127" s="12"/>
      <c r="M127" s="12"/>
      <c r="N127" s="12"/>
      <c r="O127" s="12"/>
      <c r="P127" s="12"/>
      <c r="Q127" s="8"/>
      <c r="R127" s="8"/>
      <c r="S127" s="8"/>
      <c r="T127" s="36">
        <f>SUM(CoreValuesResults[[#This Row],[Project CV 1 - EXPLORE]:[Engineering CV 4 - COMMUNINCATE]],CoreValuesResults[[#This Row],[Gracious Professionalism Score]])</f>
        <v>0</v>
      </c>
      <c r="U127" s="21">
        <f>IF(CoreValuesResults[[#This Row],[Team Number]]&gt;0,MIN(_xlfn.RANK.EQ(CoreValuesResults[[#This Row],[Core Values Score]],CoreValuesResults[Core Values Score],0),NumberOfTeams),NumberOfTeams+1)</f>
        <v>9</v>
      </c>
      <c r="V127" s="35"/>
      <c r="W127" s="35"/>
    </row>
    <row r="128" spans="1:23" ht="30" customHeight="1" x14ac:dyDescent="0.25">
      <c r="A128" s="8">
        <f>_xlfn.XLOOKUP(127,OfficialTeamList[Row],OfficialTeamList[Team Number],"ERROR",0)</f>
        <v>0</v>
      </c>
      <c r="B128" s="20" t="str">
        <f>_xlfn.XLOOKUP(CoreValuesResults[[#This Row],[Team Number]],OfficialTeamList[Team Number],OfficialTeamList[Team Name],"",0,)</f>
        <v/>
      </c>
      <c r="C128" s="66">
        <f>_xlfn.XLOOKUP(CoreValuesResults[[#This Row],[Team Number]],InnovationProjectResults[Team Number],InnovationProjectResults[Explore 2 (CV)])</f>
        <v>0</v>
      </c>
      <c r="D128" s="66">
        <f>_xlfn.XLOOKUP(CoreValuesResults[[#This Row],[Team Number]],InnovationProjectResults[Team Number],InnovationProjectResults[Ideate 3 (CV)])</f>
        <v>0</v>
      </c>
      <c r="E128" s="66">
        <f>_xlfn.XLOOKUP(CoreValuesResults[[#This Row],[Team Number]],InnovationProjectResults[Team Number],InnovationProjectResults[Implement 1 (CV)])</f>
        <v>0</v>
      </c>
      <c r="F128" s="66">
        <f>_xlfn.XLOOKUP(CoreValuesResults[[#This Row],[Team Number]],InnovationProjectResults[Team Number],InnovationProjectResults[Communicate 2 (CV)])</f>
        <v>0</v>
      </c>
      <c r="G128" s="66">
        <f>_xlfn.XLOOKUP(CoreValuesResults[[#This Row],[Team Number]],RobotDesignResults[Team Number],RobotDesignResults[Identify 2 (CV)])</f>
        <v>0</v>
      </c>
      <c r="H128" s="66">
        <f>_xlfn.XLOOKUP(CoreValuesResults[[#This Row],[Team Number]],RobotDesignResults[Team Number],RobotDesignResults[Iterate 3 (CV)])</f>
        <v>0</v>
      </c>
      <c r="I128" s="66">
        <f>_xlfn.XLOOKUP(CoreValuesResults[[#This Row],[Team Number]],RobotDesignResults[Team Number],RobotDesignResults[Communicate 1 (CV)])</f>
        <v>0</v>
      </c>
      <c r="J128" s="66">
        <f>_xlfn.XLOOKUP(CoreValuesResults[[#This Row],[Team Number]],RobotDesignResults[Team Number],RobotDesignResults[Communicate 2 (CV)])</f>
        <v>0</v>
      </c>
      <c r="K128" s="12"/>
      <c r="L128" s="12"/>
      <c r="M128" s="12"/>
      <c r="N128" s="12"/>
      <c r="O128" s="12"/>
      <c r="P128" s="12"/>
      <c r="Q128" s="8"/>
      <c r="R128" s="8"/>
      <c r="S128" s="8"/>
      <c r="T128" s="36">
        <f>SUM(CoreValuesResults[[#This Row],[Project CV 1 - EXPLORE]:[Engineering CV 4 - COMMUNINCATE]],CoreValuesResults[[#This Row],[Gracious Professionalism Score]])</f>
        <v>0</v>
      </c>
      <c r="U128" s="21">
        <f>IF(CoreValuesResults[[#This Row],[Team Number]]&gt;0,MIN(_xlfn.RANK.EQ(CoreValuesResults[[#This Row],[Core Values Score]],CoreValuesResults[Core Values Score],0),NumberOfTeams),NumberOfTeams+1)</f>
        <v>9</v>
      </c>
      <c r="V128" s="35"/>
      <c r="W128" s="35"/>
    </row>
    <row r="129" spans="1:23" ht="30" customHeight="1" x14ac:dyDescent="0.25">
      <c r="A129" s="8">
        <f>_xlfn.XLOOKUP(128,OfficialTeamList[Row],OfficialTeamList[Team Number],"ERROR",0)</f>
        <v>0</v>
      </c>
      <c r="B129" s="20" t="str">
        <f>_xlfn.XLOOKUP(CoreValuesResults[[#This Row],[Team Number]],OfficialTeamList[Team Number],OfficialTeamList[Team Name],"",0,)</f>
        <v/>
      </c>
      <c r="C129" s="66">
        <f>_xlfn.XLOOKUP(CoreValuesResults[[#This Row],[Team Number]],InnovationProjectResults[Team Number],InnovationProjectResults[Explore 2 (CV)])</f>
        <v>0</v>
      </c>
      <c r="D129" s="66">
        <f>_xlfn.XLOOKUP(CoreValuesResults[[#This Row],[Team Number]],InnovationProjectResults[Team Number],InnovationProjectResults[Ideate 3 (CV)])</f>
        <v>0</v>
      </c>
      <c r="E129" s="66">
        <f>_xlfn.XLOOKUP(CoreValuesResults[[#This Row],[Team Number]],InnovationProjectResults[Team Number],InnovationProjectResults[Implement 1 (CV)])</f>
        <v>0</v>
      </c>
      <c r="F129" s="66">
        <f>_xlfn.XLOOKUP(CoreValuesResults[[#This Row],[Team Number]],InnovationProjectResults[Team Number],InnovationProjectResults[Communicate 2 (CV)])</f>
        <v>0</v>
      </c>
      <c r="G129" s="66">
        <f>_xlfn.XLOOKUP(CoreValuesResults[[#This Row],[Team Number]],RobotDesignResults[Team Number],RobotDesignResults[Identify 2 (CV)])</f>
        <v>0</v>
      </c>
      <c r="H129" s="66">
        <f>_xlfn.XLOOKUP(CoreValuesResults[[#This Row],[Team Number]],RobotDesignResults[Team Number],RobotDesignResults[Iterate 3 (CV)])</f>
        <v>0</v>
      </c>
      <c r="I129" s="66">
        <f>_xlfn.XLOOKUP(CoreValuesResults[[#This Row],[Team Number]],RobotDesignResults[Team Number],RobotDesignResults[Communicate 1 (CV)])</f>
        <v>0</v>
      </c>
      <c r="J129" s="66">
        <f>_xlfn.XLOOKUP(CoreValuesResults[[#This Row],[Team Number]],RobotDesignResults[Team Number],RobotDesignResults[Communicate 2 (CV)])</f>
        <v>0</v>
      </c>
      <c r="K129" s="12"/>
      <c r="L129" s="12"/>
      <c r="M129" s="12"/>
      <c r="N129" s="12"/>
      <c r="O129" s="12"/>
      <c r="P129" s="12"/>
      <c r="Q129" s="8"/>
      <c r="R129" s="8"/>
      <c r="S129" s="8"/>
      <c r="T129" s="36">
        <f>SUM(CoreValuesResults[[#This Row],[Project CV 1 - EXPLORE]:[Engineering CV 4 - COMMUNINCATE]],CoreValuesResults[[#This Row],[Gracious Professionalism Score]])</f>
        <v>0</v>
      </c>
      <c r="U129" s="21">
        <f>IF(CoreValuesResults[[#This Row],[Team Number]]&gt;0,MIN(_xlfn.RANK.EQ(CoreValuesResults[[#This Row],[Core Values Score]],CoreValuesResults[Core Values Score],0),NumberOfTeams),NumberOfTeams+1)</f>
        <v>9</v>
      </c>
      <c r="V129" s="35"/>
      <c r="W129" s="35"/>
    </row>
    <row r="130" spans="1:23" ht="30" customHeight="1" x14ac:dyDescent="0.25">
      <c r="A130" s="8">
        <f>_xlfn.XLOOKUP(129,OfficialTeamList[Row],OfficialTeamList[Team Number],"ERROR",0)</f>
        <v>0</v>
      </c>
      <c r="B130" s="20" t="str">
        <f>_xlfn.XLOOKUP(CoreValuesResults[[#This Row],[Team Number]],OfficialTeamList[Team Number],OfficialTeamList[Team Name],"",0,)</f>
        <v/>
      </c>
      <c r="C130" s="66">
        <f>_xlfn.XLOOKUP(CoreValuesResults[[#This Row],[Team Number]],InnovationProjectResults[Team Number],InnovationProjectResults[Explore 2 (CV)])</f>
        <v>0</v>
      </c>
      <c r="D130" s="66">
        <f>_xlfn.XLOOKUP(CoreValuesResults[[#This Row],[Team Number]],InnovationProjectResults[Team Number],InnovationProjectResults[Ideate 3 (CV)])</f>
        <v>0</v>
      </c>
      <c r="E130" s="66">
        <f>_xlfn.XLOOKUP(CoreValuesResults[[#This Row],[Team Number]],InnovationProjectResults[Team Number],InnovationProjectResults[Implement 1 (CV)])</f>
        <v>0</v>
      </c>
      <c r="F130" s="66">
        <f>_xlfn.XLOOKUP(CoreValuesResults[[#This Row],[Team Number]],InnovationProjectResults[Team Number],InnovationProjectResults[Communicate 2 (CV)])</f>
        <v>0</v>
      </c>
      <c r="G130" s="66">
        <f>_xlfn.XLOOKUP(CoreValuesResults[[#This Row],[Team Number]],RobotDesignResults[Team Number],RobotDesignResults[Identify 2 (CV)])</f>
        <v>0</v>
      </c>
      <c r="H130" s="66">
        <f>_xlfn.XLOOKUP(CoreValuesResults[[#This Row],[Team Number]],RobotDesignResults[Team Number],RobotDesignResults[Iterate 3 (CV)])</f>
        <v>0</v>
      </c>
      <c r="I130" s="66">
        <f>_xlfn.XLOOKUP(CoreValuesResults[[#This Row],[Team Number]],RobotDesignResults[Team Number],RobotDesignResults[Communicate 1 (CV)])</f>
        <v>0</v>
      </c>
      <c r="J130" s="66">
        <f>_xlfn.XLOOKUP(CoreValuesResults[[#This Row],[Team Number]],RobotDesignResults[Team Number],RobotDesignResults[Communicate 2 (CV)])</f>
        <v>0</v>
      </c>
      <c r="K130" s="12"/>
      <c r="L130" s="12"/>
      <c r="M130" s="12"/>
      <c r="N130" s="12"/>
      <c r="O130" s="12"/>
      <c r="P130" s="12"/>
      <c r="Q130" s="8"/>
      <c r="R130" s="8"/>
      <c r="S130" s="8"/>
      <c r="T130" s="36">
        <f>SUM(CoreValuesResults[[#This Row],[Project CV 1 - EXPLORE]:[Engineering CV 4 - COMMUNINCATE]],CoreValuesResults[[#This Row],[Gracious Professionalism Score]])</f>
        <v>0</v>
      </c>
      <c r="U130" s="21">
        <f>IF(CoreValuesResults[[#This Row],[Team Number]]&gt;0,MIN(_xlfn.RANK.EQ(CoreValuesResults[[#This Row],[Core Values Score]],CoreValuesResults[Core Values Score],0),NumberOfTeams),NumberOfTeams+1)</f>
        <v>9</v>
      </c>
      <c r="V130" s="35"/>
      <c r="W130" s="35"/>
    </row>
    <row r="131" spans="1:23" ht="30" customHeight="1" x14ac:dyDescent="0.25">
      <c r="A131" s="8">
        <f>_xlfn.XLOOKUP(130,OfficialTeamList[Row],OfficialTeamList[Team Number],"ERROR",0)</f>
        <v>0</v>
      </c>
      <c r="B131" s="20" t="str">
        <f>_xlfn.XLOOKUP(CoreValuesResults[[#This Row],[Team Number]],OfficialTeamList[Team Number],OfficialTeamList[Team Name],"",0,)</f>
        <v/>
      </c>
      <c r="C131" s="66">
        <f>_xlfn.XLOOKUP(CoreValuesResults[[#This Row],[Team Number]],InnovationProjectResults[Team Number],InnovationProjectResults[Explore 2 (CV)])</f>
        <v>0</v>
      </c>
      <c r="D131" s="66">
        <f>_xlfn.XLOOKUP(CoreValuesResults[[#This Row],[Team Number]],InnovationProjectResults[Team Number],InnovationProjectResults[Ideate 3 (CV)])</f>
        <v>0</v>
      </c>
      <c r="E131" s="66">
        <f>_xlfn.XLOOKUP(CoreValuesResults[[#This Row],[Team Number]],InnovationProjectResults[Team Number],InnovationProjectResults[Implement 1 (CV)])</f>
        <v>0</v>
      </c>
      <c r="F131" s="66">
        <f>_xlfn.XLOOKUP(CoreValuesResults[[#This Row],[Team Number]],InnovationProjectResults[Team Number],InnovationProjectResults[Communicate 2 (CV)])</f>
        <v>0</v>
      </c>
      <c r="G131" s="66">
        <f>_xlfn.XLOOKUP(CoreValuesResults[[#This Row],[Team Number]],RobotDesignResults[Team Number],RobotDesignResults[Identify 2 (CV)])</f>
        <v>0</v>
      </c>
      <c r="H131" s="66">
        <f>_xlfn.XLOOKUP(CoreValuesResults[[#This Row],[Team Number]],RobotDesignResults[Team Number],RobotDesignResults[Iterate 3 (CV)])</f>
        <v>0</v>
      </c>
      <c r="I131" s="66">
        <f>_xlfn.XLOOKUP(CoreValuesResults[[#This Row],[Team Number]],RobotDesignResults[Team Number],RobotDesignResults[Communicate 1 (CV)])</f>
        <v>0</v>
      </c>
      <c r="J131" s="66">
        <f>_xlfn.XLOOKUP(CoreValuesResults[[#This Row],[Team Number]],RobotDesignResults[Team Number],RobotDesignResults[Communicate 2 (CV)])</f>
        <v>0</v>
      </c>
      <c r="K131" s="12"/>
      <c r="L131" s="12"/>
      <c r="M131" s="12"/>
      <c r="N131" s="12"/>
      <c r="O131" s="12"/>
      <c r="P131" s="12"/>
      <c r="Q131" s="8"/>
      <c r="R131" s="8"/>
      <c r="S131" s="8"/>
      <c r="T131" s="36">
        <f>SUM(CoreValuesResults[[#This Row],[Project CV 1 - EXPLORE]:[Engineering CV 4 - COMMUNINCATE]],CoreValuesResults[[#This Row],[Gracious Professionalism Score]])</f>
        <v>0</v>
      </c>
      <c r="U131" s="21">
        <f>IF(CoreValuesResults[[#This Row],[Team Number]]&gt;0,MIN(_xlfn.RANK.EQ(CoreValuesResults[[#This Row],[Core Values Score]],CoreValuesResults[Core Values Score],0),NumberOfTeams),NumberOfTeams+1)</f>
        <v>9</v>
      </c>
      <c r="V131" s="35"/>
      <c r="W131" s="35"/>
    </row>
    <row r="132" spans="1:23" ht="30" customHeight="1" x14ac:dyDescent="0.25">
      <c r="A132" s="8">
        <f>_xlfn.XLOOKUP(131,OfficialTeamList[Row],OfficialTeamList[Team Number],"ERROR",0)</f>
        <v>0</v>
      </c>
      <c r="B132" s="20" t="str">
        <f>_xlfn.XLOOKUP(CoreValuesResults[[#This Row],[Team Number]],OfficialTeamList[Team Number],OfficialTeamList[Team Name],"",0,)</f>
        <v/>
      </c>
      <c r="C132" s="66">
        <f>_xlfn.XLOOKUP(CoreValuesResults[[#This Row],[Team Number]],InnovationProjectResults[Team Number],InnovationProjectResults[Explore 2 (CV)])</f>
        <v>0</v>
      </c>
      <c r="D132" s="66">
        <f>_xlfn.XLOOKUP(CoreValuesResults[[#This Row],[Team Number]],InnovationProjectResults[Team Number],InnovationProjectResults[Ideate 3 (CV)])</f>
        <v>0</v>
      </c>
      <c r="E132" s="66">
        <f>_xlfn.XLOOKUP(CoreValuesResults[[#This Row],[Team Number]],InnovationProjectResults[Team Number],InnovationProjectResults[Implement 1 (CV)])</f>
        <v>0</v>
      </c>
      <c r="F132" s="66">
        <f>_xlfn.XLOOKUP(CoreValuesResults[[#This Row],[Team Number]],InnovationProjectResults[Team Number],InnovationProjectResults[Communicate 2 (CV)])</f>
        <v>0</v>
      </c>
      <c r="G132" s="66">
        <f>_xlfn.XLOOKUP(CoreValuesResults[[#This Row],[Team Number]],RobotDesignResults[Team Number],RobotDesignResults[Identify 2 (CV)])</f>
        <v>0</v>
      </c>
      <c r="H132" s="66">
        <f>_xlfn.XLOOKUP(CoreValuesResults[[#This Row],[Team Number]],RobotDesignResults[Team Number],RobotDesignResults[Iterate 3 (CV)])</f>
        <v>0</v>
      </c>
      <c r="I132" s="66">
        <f>_xlfn.XLOOKUP(CoreValuesResults[[#This Row],[Team Number]],RobotDesignResults[Team Number],RobotDesignResults[Communicate 1 (CV)])</f>
        <v>0</v>
      </c>
      <c r="J132" s="66">
        <f>_xlfn.XLOOKUP(CoreValuesResults[[#This Row],[Team Number]],RobotDesignResults[Team Number],RobotDesignResults[Communicate 2 (CV)])</f>
        <v>0</v>
      </c>
      <c r="K132" s="12"/>
      <c r="L132" s="12"/>
      <c r="M132" s="12"/>
      <c r="N132" s="12"/>
      <c r="O132" s="12"/>
      <c r="P132" s="12"/>
      <c r="Q132" s="8"/>
      <c r="R132" s="8"/>
      <c r="S132" s="8"/>
      <c r="T132" s="36">
        <f>SUM(CoreValuesResults[[#This Row],[Project CV 1 - EXPLORE]:[Engineering CV 4 - COMMUNINCATE]],CoreValuesResults[[#This Row],[Gracious Professionalism Score]])</f>
        <v>0</v>
      </c>
      <c r="U132" s="21">
        <f>IF(CoreValuesResults[[#This Row],[Team Number]]&gt;0,MIN(_xlfn.RANK.EQ(CoreValuesResults[[#This Row],[Core Values Score]],CoreValuesResults[Core Values Score],0),NumberOfTeams),NumberOfTeams+1)</f>
        <v>9</v>
      </c>
      <c r="V132" s="35"/>
      <c r="W132" s="35"/>
    </row>
    <row r="133" spans="1:23" ht="30" customHeight="1" x14ac:dyDescent="0.25">
      <c r="A133" s="8">
        <f>_xlfn.XLOOKUP(132,OfficialTeamList[Row],OfficialTeamList[Team Number],"ERROR",0)</f>
        <v>0</v>
      </c>
      <c r="B133" s="20" t="str">
        <f>_xlfn.XLOOKUP(CoreValuesResults[[#This Row],[Team Number]],OfficialTeamList[Team Number],OfficialTeamList[Team Name],"",0,)</f>
        <v/>
      </c>
      <c r="C133" s="66">
        <f>_xlfn.XLOOKUP(CoreValuesResults[[#This Row],[Team Number]],InnovationProjectResults[Team Number],InnovationProjectResults[Explore 2 (CV)])</f>
        <v>0</v>
      </c>
      <c r="D133" s="66">
        <f>_xlfn.XLOOKUP(CoreValuesResults[[#This Row],[Team Number]],InnovationProjectResults[Team Number],InnovationProjectResults[Ideate 3 (CV)])</f>
        <v>0</v>
      </c>
      <c r="E133" s="66">
        <f>_xlfn.XLOOKUP(CoreValuesResults[[#This Row],[Team Number]],InnovationProjectResults[Team Number],InnovationProjectResults[Implement 1 (CV)])</f>
        <v>0</v>
      </c>
      <c r="F133" s="66">
        <f>_xlfn.XLOOKUP(CoreValuesResults[[#This Row],[Team Number]],InnovationProjectResults[Team Number],InnovationProjectResults[Communicate 2 (CV)])</f>
        <v>0</v>
      </c>
      <c r="G133" s="66">
        <f>_xlfn.XLOOKUP(CoreValuesResults[[#This Row],[Team Number]],RobotDesignResults[Team Number],RobotDesignResults[Identify 2 (CV)])</f>
        <v>0</v>
      </c>
      <c r="H133" s="66">
        <f>_xlfn.XLOOKUP(CoreValuesResults[[#This Row],[Team Number]],RobotDesignResults[Team Number],RobotDesignResults[Iterate 3 (CV)])</f>
        <v>0</v>
      </c>
      <c r="I133" s="66">
        <f>_xlfn.XLOOKUP(CoreValuesResults[[#This Row],[Team Number]],RobotDesignResults[Team Number],RobotDesignResults[Communicate 1 (CV)])</f>
        <v>0</v>
      </c>
      <c r="J133" s="66">
        <f>_xlfn.XLOOKUP(CoreValuesResults[[#This Row],[Team Number]],RobotDesignResults[Team Number],RobotDesignResults[Communicate 2 (CV)])</f>
        <v>0</v>
      </c>
      <c r="K133" s="12"/>
      <c r="L133" s="12"/>
      <c r="M133" s="12"/>
      <c r="N133" s="12"/>
      <c r="O133" s="12"/>
      <c r="P133" s="12"/>
      <c r="Q133" s="8"/>
      <c r="R133" s="8"/>
      <c r="S133" s="8"/>
      <c r="T133" s="36">
        <f>SUM(CoreValuesResults[[#This Row],[Project CV 1 - EXPLORE]:[Engineering CV 4 - COMMUNINCATE]],CoreValuesResults[[#This Row],[Gracious Professionalism Score]])</f>
        <v>0</v>
      </c>
      <c r="U133" s="21">
        <f>IF(CoreValuesResults[[#This Row],[Team Number]]&gt;0,MIN(_xlfn.RANK.EQ(CoreValuesResults[[#This Row],[Core Values Score]],CoreValuesResults[Core Values Score],0),NumberOfTeams),NumberOfTeams+1)</f>
        <v>9</v>
      </c>
      <c r="V133" s="35"/>
      <c r="W133" s="35"/>
    </row>
    <row r="134" spans="1:23" ht="30" customHeight="1" x14ac:dyDescent="0.25">
      <c r="A134" s="8">
        <f>_xlfn.XLOOKUP(133,OfficialTeamList[Row],OfficialTeamList[Team Number],"ERROR",0)</f>
        <v>0</v>
      </c>
      <c r="B134" s="20" t="str">
        <f>_xlfn.XLOOKUP(CoreValuesResults[[#This Row],[Team Number]],OfficialTeamList[Team Number],OfficialTeamList[Team Name],"",0,)</f>
        <v/>
      </c>
      <c r="C134" s="66">
        <f>_xlfn.XLOOKUP(CoreValuesResults[[#This Row],[Team Number]],InnovationProjectResults[Team Number],InnovationProjectResults[Explore 2 (CV)])</f>
        <v>0</v>
      </c>
      <c r="D134" s="66">
        <f>_xlfn.XLOOKUP(CoreValuesResults[[#This Row],[Team Number]],InnovationProjectResults[Team Number],InnovationProjectResults[Ideate 3 (CV)])</f>
        <v>0</v>
      </c>
      <c r="E134" s="66">
        <f>_xlfn.XLOOKUP(CoreValuesResults[[#This Row],[Team Number]],InnovationProjectResults[Team Number],InnovationProjectResults[Implement 1 (CV)])</f>
        <v>0</v>
      </c>
      <c r="F134" s="66">
        <f>_xlfn.XLOOKUP(CoreValuesResults[[#This Row],[Team Number]],InnovationProjectResults[Team Number],InnovationProjectResults[Communicate 2 (CV)])</f>
        <v>0</v>
      </c>
      <c r="G134" s="66">
        <f>_xlfn.XLOOKUP(CoreValuesResults[[#This Row],[Team Number]],RobotDesignResults[Team Number],RobotDesignResults[Identify 2 (CV)])</f>
        <v>0</v>
      </c>
      <c r="H134" s="66">
        <f>_xlfn.XLOOKUP(CoreValuesResults[[#This Row],[Team Number]],RobotDesignResults[Team Number],RobotDesignResults[Iterate 3 (CV)])</f>
        <v>0</v>
      </c>
      <c r="I134" s="66">
        <f>_xlfn.XLOOKUP(CoreValuesResults[[#This Row],[Team Number]],RobotDesignResults[Team Number],RobotDesignResults[Communicate 1 (CV)])</f>
        <v>0</v>
      </c>
      <c r="J134" s="66">
        <f>_xlfn.XLOOKUP(CoreValuesResults[[#This Row],[Team Number]],RobotDesignResults[Team Number],RobotDesignResults[Communicate 2 (CV)])</f>
        <v>0</v>
      </c>
      <c r="K134" s="12"/>
      <c r="L134" s="12"/>
      <c r="M134" s="12"/>
      <c r="N134" s="12"/>
      <c r="O134" s="12"/>
      <c r="P134" s="12"/>
      <c r="Q134" s="8"/>
      <c r="R134" s="8"/>
      <c r="S134" s="8"/>
      <c r="T134" s="36">
        <f>SUM(CoreValuesResults[[#This Row],[Project CV 1 - EXPLORE]:[Engineering CV 4 - COMMUNINCATE]],CoreValuesResults[[#This Row],[Gracious Professionalism Score]])</f>
        <v>0</v>
      </c>
      <c r="U134" s="21">
        <f>IF(CoreValuesResults[[#This Row],[Team Number]]&gt;0,MIN(_xlfn.RANK.EQ(CoreValuesResults[[#This Row],[Core Values Score]],CoreValuesResults[Core Values Score],0),NumberOfTeams),NumberOfTeams+1)</f>
        <v>9</v>
      </c>
      <c r="V134" s="35"/>
      <c r="W134" s="35"/>
    </row>
    <row r="135" spans="1:23" ht="30" customHeight="1" x14ac:dyDescent="0.25">
      <c r="A135" s="8">
        <f>_xlfn.XLOOKUP(134,OfficialTeamList[Row],OfficialTeamList[Team Number],"ERROR",0)</f>
        <v>0</v>
      </c>
      <c r="B135" s="20" t="str">
        <f>_xlfn.XLOOKUP(CoreValuesResults[[#This Row],[Team Number]],OfficialTeamList[Team Number],OfficialTeamList[Team Name],"",0,)</f>
        <v/>
      </c>
      <c r="C135" s="66">
        <f>_xlfn.XLOOKUP(CoreValuesResults[[#This Row],[Team Number]],InnovationProjectResults[Team Number],InnovationProjectResults[Explore 2 (CV)])</f>
        <v>0</v>
      </c>
      <c r="D135" s="66">
        <f>_xlfn.XLOOKUP(CoreValuesResults[[#This Row],[Team Number]],InnovationProjectResults[Team Number],InnovationProjectResults[Ideate 3 (CV)])</f>
        <v>0</v>
      </c>
      <c r="E135" s="66">
        <f>_xlfn.XLOOKUP(CoreValuesResults[[#This Row],[Team Number]],InnovationProjectResults[Team Number],InnovationProjectResults[Implement 1 (CV)])</f>
        <v>0</v>
      </c>
      <c r="F135" s="66">
        <f>_xlfn.XLOOKUP(CoreValuesResults[[#This Row],[Team Number]],InnovationProjectResults[Team Number],InnovationProjectResults[Communicate 2 (CV)])</f>
        <v>0</v>
      </c>
      <c r="G135" s="66">
        <f>_xlfn.XLOOKUP(CoreValuesResults[[#This Row],[Team Number]],RobotDesignResults[Team Number],RobotDesignResults[Identify 2 (CV)])</f>
        <v>0</v>
      </c>
      <c r="H135" s="66">
        <f>_xlfn.XLOOKUP(CoreValuesResults[[#This Row],[Team Number]],RobotDesignResults[Team Number],RobotDesignResults[Iterate 3 (CV)])</f>
        <v>0</v>
      </c>
      <c r="I135" s="66">
        <f>_xlfn.XLOOKUP(CoreValuesResults[[#This Row],[Team Number]],RobotDesignResults[Team Number],RobotDesignResults[Communicate 1 (CV)])</f>
        <v>0</v>
      </c>
      <c r="J135" s="66">
        <f>_xlfn.XLOOKUP(CoreValuesResults[[#This Row],[Team Number]],RobotDesignResults[Team Number],RobotDesignResults[Communicate 2 (CV)])</f>
        <v>0</v>
      </c>
      <c r="K135" s="12"/>
      <c r="L135" s="12"/>
      <c r="M135" s="12"/>
      <c r="N135" s="12"/>
      <c r="O135" s="12"/>
      <c r="P135" s="12"/>
      <c r="Q135" s="8"/>
      <c r="R135" s="8"/>
      <c r="S135" s="8"/>
      <c r="T135" s="36">
        <f>SUM(CoreValuesResults[[#This Row],[Project CV 1 - EXPLORE]:[Engineering CV 4 - COMMUNINCATE]],CoreValuesResults[[#This Row],[Gracious Professionalism Score]])</f>
        <v>0</v>
      </c>
      <c r="U135" s="21">
        <f>IF(CoreValuesResults[[#This Row],[Team Number]]&gt;0,MIN(_xlfn.RANK.EQ(CoreValuesResults[[#This Row],[Core Values Score]],CoreValuesResults[Core Values Score],0),NumberOfTeams),NumberOfTeams+1)</f>
        <v>9</v>
      </c>
      <c r="V135" s="35"/>
      <c r="W135" s="35"/>
    </row>
    <row r="136" spans="1:23" ht="30" customHeight="1" x14ac:dyDescent="0.25">
      <c r="A136" s="8">
        <f>_xlfn.XLOOKUP(135,OfficialTeamList[Row],OfficialTeamList[Team Number],"ERROR",0)</f>
        <v>0</v>
      </c>
      <c r="B136" s="20" t="str">
        <f>_xlfn.XLOOKUP(CoreValuesResults[[#This Row],[Team Number]],OfficialTeamList[Team Number],OfficialTeamList[Team Name],"",0,)</f>
        <v/>
      </c>
      <c r="C136" s="66">
        <f>_xlfn.XLOOKUP(CoreValuesResults[[#This Row],[Team Number]],InnovationProjectResults[Team Number],InnovationProjectResults[Explore 2 (CV)])</f>
        <v>0</v>
      </c>
      <c r="D136" s="66">
        <f>_xlfn.XLOOKUP(CoreValuesResults[[#This Row],[Team Number]],InnovationProjectResults[Team Number],InnovationProjectResults[Ideate 3 (CV)])</f>
        <v>0</v>
      </c>
      <c r="E136" s="66">
        <f>_xlfn.XLOOKUP(CoreValuesResults[[#This Row],[Team Number]],InnovationProjectResults[Team Number],InnovationProjectResults[Implement 1 (CV)])</f>
        <v>0</v>
      </c>
      <c r="F136" s="66">
        <f>_xlfn.XLOOKUP(CoreValuesResults[[#This Row],[Team Number]],InnovationProjectResults[Team Number],InnovationProjectResults[Communicate 2 (CV)])</f>
        <v>0</v>
      </c>
      <c r="G136" s="66">
        <f>_xlfn.XLOOKUP(CoreValuesResults[[#This Row],[Team Number]],RobotDesignResults[Team Number],RobotDesignResults[Identify 2 (CV)])</f>
        <v>0</v>
      </c>
      <c r="H136" s="66">
        <f>_xlfn.XLOOKUP(CoreValuesResults[[#This Row],[Team Number]],RobotDesignResults[Team Number],RobotDesignResults[Iterate 3 (CV)])</f>
        <v>0</v>
      </c>
      <c r="I136" s="66">
        <f>_xlfn.XLOOKUP(CoreValuesResults[[#This Row],[Team Number]],RobotDesignResults[Team Number],RobotDesignResults[Communicate 1 (CV)])</f>
        <v>0</v>
      </c>
      <c r="J136" s="66">
        <f>_xlfn.XLOOKUP(CoreValuesResults[[#This Row],[Team Number]],RobotDesignResults[Team Number],RobotDesignResults[Communicate 2 (CV)])</f>
        <v>0</v>
      </c>
      <c r="K136" s="12"/>
      <c r="L136" s="12"/>
      <c r="M136" s="12"/>
      <c r="N136" s="12"/>
      <c r="O136" s="12"/>
      <c r="P136" s="12"/>
      <c r="Q136" s="8"/>
      <c r="R136" s="8"/>
      <c r="S136" s="8"/>
      <c r="T136" s="36">
        <f>SUM(CoreValuesResults[[#This Row],[Project CV 1 - EXPLORE]:[Engineering CV 4 - COMMUNINCATE]],CoreValuesResults[[#This Row],[Gracious Professionalism Score]])</f>
        <v>0</v>
      </c>
      <c r="U136" s="21">
        <f>IF(CoreValuesResults[[#This Row],[Team Number]]&gt;0,MIN(_xlfn.RANK.EQ(CoreValuesResults[[#This Row],[Core Values Score]],CoreValuesResults[Core Values Score],0),NumberOfTeams),NumberOfTeams+1)</f>
        <v>9</v>
      </c>
      <c r="V136" s="35"/>
      <c r="W136" s="35"/>
    </row>
    <row r="137" spans="1:23" ht="30" customHeight="1" x14ac:dyDescent="0.25">
      <c r="A137" s="8">
        <f>_xlfn.XLOOKUP(136,OfficialTeamList[Row],OfficialTeamList[Team Number],"ERROR",0)</f>
        <v>0</v>
      </c>
      <c r="B137" s="20" t="str">
        <f>_xlfn.XLOOKUP(CoreValuesResults[[#This Row],[Team Number]],OfficialTeamList[Team Number],OfficialTeamList[Team Name],"",0,)</f>
        <v/>
      </c>
      <c r="C137" s="66">
        <f>_xlfn.XLOOKUP(CoreValuesResults[[#This Row],[Team Number]],InnovationProjectResults[Team Number],InnovationProjectResults[Explore 2 (CV)])</f>
        <v>0</v>
      </c>
      <c r="D137" s="66">
        <f>_xlfn.XLOOKUP(CoreValuesResults[[#This Row],[Team Number]],InnovationProjectResults[Team Number],InnovationProjectResults[Ideate 3 (CV)])</f>
        <v>0</v>
      </c>
      <c r="E137" s="66">
        <f>_xlfn.XLOOKUP(CoreValuesResults[[#This Row],[Team Number]],InnovationProjectResults[Team Number],InnovationProjectResults[Implement 1 (CV)])</f>
        <v>0</v>
      </c>
      <c r="F137" s="66">
        <f>_xlfn.XLOOKUP(CoreValuesResults[[#This Row],[Team Number]],InnovationProjectResults[Team Number],InnovationProjectResults[Communicate 2 (CV)])</f>
        <v>0</v>
      </c>
      <c r="G137" s="66">
        <f>_xlfn.XLOOKUP(CoreValuesResults[[#This Row],[Team Number]],RobotDesignResults[Team Number],RobotDesignResults[Identify 2 (CV)])</f>
        <v>0</v>
      </c>
      <c r="H137" s="66">
        <f>_xlfn.XLOOKUP(CoreValuesResults[[#This Row],[Team Number]],RobotDesignResults[Team Number],RobotDesignResults[Iterate 3 (CV)])</f>
        <v>0</v>
      </c>
      <c r="I137" s="66">
        <f>_xlfn.XLOOKUP(CoreValuesResults[[#This Row],[Team Number]],RobotDesignResults[Team Number],RobotDesignResults[Communicate 1 (CV)])</f>
        <v>0</v>
      </c>
      <c r="J137" s="66">
        <f>_xlfn.XLOOKUP(CoreValuesResults[[#This Row],[Team Number]],RobotDesignResults[Team Number],RobotDesignResults[Communicate 2 (CV)])</f>
        <v>0</v>
      </c>
      <c r="K137" s="12"/>
      <c r="L137" s="12"/>
      <c r="M137" s="12"/>
      <c r="N137" s="12"/>
      <c r="O137" s="12"/>
      <c r="P137" s="12"/>
      <c r="Q137" s="8"/>
      <c r="R137" s="8"/>
      <c r="S137" s="8"/>
      <c r="T137" s="36">
        <f>SUM(CoreValuesResults[[#This Row],[Project CV 1 - EXPLORE]:[Engineering CV 4 - COMMUNINCATE]],CoreValuesResults[[#This Row],[Gracious Professionalism Score]])</f>
        <v>0</v>
      </c>
      <c r="U137" s="21">
        <f>IF(CoreValuesResults[[#This Row],[Team Number]]&gt;0,MIN(_xlfn.RANK.EQ(CoreValuesResults[[#This Row],[Core Values Score]],CoreValuesResults[Core Values Score],0),NumberOfTeams),NumberOfTeams+1)</f>
        <v>9</v>
      </c>
      <c r="V137" s="35"/>
      <c r="W137" s="35"/>
    </row>
    <row r="138" spans="1:23" ht="30" customHeight="1" x14ac:dyDescent="0.25">
      <c r="A138" s="8">
        <f>_xlfn.XLOOKUP(137,OfficialTeamList[Row],OfficialTeamList[Team Number],"ERROR",0)</f>
        <v>0</v>
      </c>
      <c r="B138" s="20" t="str">
        <f>_xlfn.XLOOKUP(CoreValuesResults[[#This Row],[Team Number]],OfficialTeamList[Team Number],OfficialTeamList[Team Name],"",0,)</f>
        <v/>
      </c>
      <c r="C138" s="66">
        <f>_xlfn.XLOOKUP(CoreValuesResults[[#This Row],[Team Number]],InnovationProjectResults[Team Number],InnovationProjectResults[Explore 2 (CV)])</f>
        <v>0</v>
      </c>
      <c r="D138" s="66">
        <f>_xlfn.XLOOKUP(CoreValuesResults[[#This Row],[Team Number]],InnovationProjectResults[Team Number],InnovationProjectResults[Ideate 3 (CV)])</f>
        <v>0</v>
      </c>
      <c r="E138" s="66">
        <f>_xlfn.XLOOKUP(CoreValuesResults[[#This Row],[Team Number]],InnovationProjectResults[Team Number],InnovationProjectResults[Implement 1 (CV)])</f>
        <v>0</v>
      </c>
      <c r="F138" s="66">
        <f>_xlfn.XLOOKUP(CoreValuesResults[[#This Row],[Team Number]],InnovationProjectResults[Team Number],InnovationProjectResults[Communicate 2 (CV)])</f>
        <v>0</v>
      </c>
      <c r="G138" s="66">
        <f>_xlfn.XLOOKUP(CoreValuesResults[[#This Row],[Team Number]],RobotDesignResults[Team Number],RobotDesignResults[Identify 2 (CV)])</f>
        <v>0</v>
      </c>
      <c r="H138" s="66">
        <f>_xlfn.XLOOKUP(CoreValuesResults[[#This Row],[Team Number]],RobotDesignResults[Team Number],RobotDesignResults[Iterate 3 (CV)])</f>
        <v>0</v>
      </c>
      <c r="I138" s="66">
        <f>_xlfn.XLOOKUP(CoreValuesResults[[#This Row],[Team Number]],RobotDesignResults[Team Number],RobotDesignResults[Communicate 1 (CV)])</f>
        <v>0</v>
      </c>
      <c r="J138" s="66">
        <f>_xlfn.XLOOKUP(CoreValuesResults[[#This Row],[Team Number]],RobotDesignResults[Team Number],RobotDesignResults[Communicate 2 (CV)])</f>
        <v>0</v>
      </c>
      <c r="K138" s="12"/>
      <c r="L138" s="12"/>
      <c r="M138" s="12"/>
      <c r="N138" s="12"/>
      <c r="O138" s="12"/>
      <c r="P138" s="12"/>
      <c r="Q138" s="8"/>
      <c r="R138" s="8"/>
      <c r="S138" s="8"/>
      <c r="T138" s="36">
        <f>SUM(CoreValuesResults[[#This Row],[Project CV 1 - EXPLORE]:[Engineering CV 4 - COMMUNINCATE]],CoreValuesResults[[#This Row],[Gracious Professionalism Score]])</f>
        <v>0</v>
      </c>
      <c r="U138" s="21">
        <f>IF(CoreValuesResults[[#This Row],[Team Number]]&gt;0,MIN(_xlfn.RANK.EQ(CoreValuesResults[[#This Row],[Core Values Score]],CoreValuesResults[Core Values Score],0),NumberOfTeams),NumberOfTeams+1)</f>
        <v>9</v>
      </c>
      <c r="V138" s="35"/>
      <c r="W138" s="35"/>
    </row>
    <row r="139" spans="1:23" ht="30" customHeight="1" x14ac:dyDescent="0.25">
      <c r="A139" s="8">
        <f>_xlfn.XLOOKUP(138,OfficialTeamList[Row],OfficialTeamList[Team Number],"ERROR",0)</f>
        <v>0</v>
      </c>
      <c r="B139" s="20" t="str">
        <f>_xlfn.XLOOKUP(CoreValuesResults[[#This Row],[Team Number]],OfficialTeamList[Team Number],OfficialTeamList[Team Name],"",0,)</f>
        <v/>
      </c>
      <c r="C139" s="66">
        <f>_xlfn.XLOOKUP(CoreValuesResults[[#This Row],[Team Number]],InnovationProjectResults[Team Number],InnovationProjectResults[Explore 2 (CV)])</f>
        <v>0</v>
      </c>
      <c r="D139" s="66">
        <f>_xlfn.XLOOKUP(CoreValuesResults[[#This Row],[Team Number]],InnovationProjectResults[Team Number],InnovationProjectResults[Ideate 3 (CV)])</f>
        <v>0</v>
      </c>
      <c r="E139" s="66">
        <f>_xlfn.XLOOKUP(CoreValuesResults[[#This Row],[Team Number]],InnovationProjectResults[Team Number],InnovationProjectResults[Implement 1 (CV)])</f>
        <v>0</v>
      </c>
      <c r="F139" s="66">
        <f>_xlfn.XLOOKUP(CoreValuesResults[[#This Row],[Team Number]],InnovationProjectResults[Team Number],InnovationProjectResults[Communicate 2 (CV)])</f>
        <v>0</v>
      </c>
      <c r="G139" s="66">
        <f>_xlfn.XLOOKUP(CoreValuesResults[[#This Row],[Team Number]],RobotDesignResults[Team Number],RobotDesignResults[Identify 2 (CV)])</f>
        <v>0</v>
      </c>
      <c r="H139" s="66">
        <f>_xlfn.XLOOKUP(CoreValuesResults[[#This Row],[Team Number]],RobotDesignResults[Team Number],RobotDesignResults[Iterate 3 (CV)])</f>
        <v>0</v>
      </c>
      <c r="I139" s="66">
        <f>_xlfn.XLOOKUP(CoreValuesResults[[#This Row],[Team Number]],RobotDesignResults[Team Number],RobotDesignResults[Communicate 1 (CV)])</f>
        <v>0</v>
      </c>
      <c r="J139" s="66">
        <f>_xlfn.XLOOKUP(CoreValuesResults[[#This Row],[Team Number]],RobotDesignResults[Team Number],RobotDesignResults[Communicate 2 (CV)])</f>
        <v>0</v>
      </c>
      <c r="K139" s="12"/>
      <c r="L139" s="12"/>
      <c r="M139" s="12"/>
      <c r="N139" s="12"/>
      <c r="O139" s="12"/>
      <c r="P139" s="12"/>
      <c r="Q139" s="8"/>
      <c r="R139" s="8"/>
      <c r="S139" s="8"/>
      <c r="T139" s="36">
        <f>SUM(CoreValuesResults[[#This Row],[Project CV 1 - EXPLORE]:[Engineering CV 4 - COMMUNINCATE]],CoreValuesResults[[#This Row],[Gracious Professionalism Score]])</f>
        <v>0</v>
      </c>
      <c r="U139" s="21">
        <f>IF(CoreValuesResults[[#This Row],[Team Number]]&gt;0,MIN(_xlfn.RANK.EQ(CoreValuesResults[[#This Row],[Core Values Score]],CoreValuesResults[Core Values Score],0),NumberOfTeams),NumberOfTeams+1)</f>
        <v>9</v>
      </c>
      <c r="V139" s="35"/>
      <c r="W139" s="35"/>
    </row>
    <row r="140" spans="1:23" ht="30" customHeight="1" x14ac:dyDescent="0.25">
      <c r="A140" s="8">
        <f>_xlfn.XLOOKUP(139,OfficialTeamList[Row],OfficialTeamList[Team Number],"ERROR",0)</f>
        <v>0</v>
      </c>
      <c r="B140" s="20" t="str">
        <f>_xlfn.XLOOKUP(CoreValuesResults[[#This Row],[Team Number]],OfficialTeamList[Team Number],OfficialTeamList[Team Name],"",0,)</f>
        <v/>
      </c>
      <c r="C140" s="66">
        <f>_xlfn.XLOOKUP(CoreValuesResults[[#This Row],[Team Number]],InnovationProjectResults[Team Number],InnovationProjectResults[Explore 2 (CV)])</f>
        <v>0</v>
      </c>
      <c r="D140" s="66">
        <f>_xlfn.XLOOKUP(CoreValuesResults[[#This Row],[Team Number]],InnovationProjectResults[Team Number],InnovationProjectResults[Ideate 3 (CV)])</f>
        <v>0</v>
      </c>
      <c r="E140" s="66">
        <f>_xlfn.XLOOKUP(CoreValuesResults[[#This Row],[Team Number]],InnovationProjectResults[Team Number],InnovationProjectResults[Implement 1 (CV)])</f>
        <v>0</v>
      </c>
      <c r="F140" s="66">
        <f>_xlfn.XLOOKUP(CoreValuesResults[[#This Row],[Team Number]],InnovationProjectResults[Team Number],InnovationProjectResults[Communicate 2 (CV)])</f>
        <v>0</v>
      </c>
      <c r="G140" s="66">
        <f>_xlfn.XLOOKUP(CoreValuesResults[[#This Row],[Team Number]],RobotDesignResults[Team Number],RobotDesignResults[Identify 2 (CV)])</f>
        <v>0</v>
      </c>
      <c r="H140" s="66">
        <f>_xlfn.XLOOKUP(CoreValuesResults[[#This Row],[Team Number]],RobotDesignResults[Team Number],RobotDesignResults[Iterate 3 (CV)])</f>
        <v>0</v>
      </c>
      <c r="I140" s="66">
        <f>_xlfn.XLOOKUP(CoreValuesResults[[#This Row],[Team Number]],RobotDesignResults[Team Number],RobotDesignResults[Communicate 1 (CV)])</f>
        <v>0</v>
      </c>
      <c r="J140" s="66">
        <f>_xlfn.XLOOKUP(CoreValuesResults[[#This Row],[Team Number]],RobotDesignResults[Team Number],RobotDesignResults[Communicate 2 (CV)])</f>
        <v>0</v>
      </c>
      <c r="K140" s="12"/>
      <c r="L140" s="12"/>
      <c r="M140" s="12"/>
      <c r="N140" s="12"/>
      <c r="O140" s="12"/>
      <c r="P140" s="12"/>
      <c r="Q140" s="8"/>
      <c r="R140" s="8"/>
      <c r="S140" s="8"/>
      <c r="T140" s="36">
        <f>SUM(CoreValuesResults[[#This Row],[Project CV 1 - EXPLORE]:[Engineering CV 4 - COMMUNINCATE]],CoreValuesResults[[#This Row],[Gracious Professionalism Score]])</f>
        <v>0</v>
      </c>
      <c r="U140" s="21">
        <f>IF(CoreValuesResults[[#This Row],[Team Number]]&gt;0,MIN(_xlfn.RANK.EQ(CoreValuesResults[[#This Row],[Core Values Score]],CoreValuesResults[Core Values Score],0),NumberOfTeams),NumberOfTeams+1)</f>
        <v>9</v>
      </c>
      <c r="V140" s="35"/>
      <c r="W140" s="35"/>
    </row>
    <row r="141" spans="1:23" ht="30" customHeight="1" x14ac:dyDescent="0.25">
      <c r="A141" s="8">
        <f>_xlfn.XLOOKUP(140,OfficialTeamList[Row],OfficialTeamList[Team Number],"ERROR",0)</f>
        <v>0</v>
      </c>
      <c r="B141" s="20" t="str">
        <f>_xlfn.XLOOKUP(CoreValuesResults[[#This Row],[Team Number]],OfficialTeamList[Team Number],OfficialTeamList[Team Name],"",0,)</f>
        <v/>
      </c>
      <c r="C141" s="66">
        <f>_xlfn.XLOOKUP(CoreValuesResults[[#This Row],[Team Number]],InnovationProjectResults[Team Number],InnovationProjectResults[Explore 2 (CV)])</f>
        <v>0</v>
      </c>
      <c r="D141" s="66">
        <f>_xlfn.XLOOKUP(CoreValuesResults[[#This Row],[Team Number]],InnovationProjectResults[Team Number],InnovationProjectResults[Ideate 3 (CV)])</f>
        <v>0</v>
      </c>
      <c r="E141" s="66">
        <f>_xlfn.XLOOKUP(CoreValuesResults[[#This Row],[Team Number]],InnovationProjectResults[Team Number],InnovationProjectResults[Implement 1 (CV)])</f>
        <v>0</v>
      </c>
      <c r="F141" s="66">
        <f>_xlfn.XLOOKUP(CoreValuesResults[[#This Row],[Team Number]],InnovationProjectResults[Team Number],InnovationProjectResults[Communicate 2 (CV)])</f>
        <v>0</v>
      </c>
      <c r="G141" s="66">
        <f>_xlfn.XLOOKUP(CoreValuesResults[[#This Row],[Team Number]],RobotDesignResults[Team Number],RobotDesignResults[Identify 2 (CV)])</f>
        <v>0</v>
      </c>
      <c r="H141" s="66">
        <f>_xlfn.XLOOKUP(CoreValuesResults[[#This Row],[Team Number]],RobotDesignResults[Team Number],RobotDesignResults[Iterate 3 (CV)])</f>
        <v>0</v>
      </c>
      <c r="I141" s="66">
        <f>_xlfn.XLOOKUP(CoreValuesResults[[#This Row],[Team Number]],RobotDesignResults[Team Number],RobotDesignResults[Communicate 1 (CV)])</f>
        <v>0</v>
      </c>
      <c r="J141" s="66">
        <f>_xlfn.XLOOKUP(CoreValuesResults[[#This Row],[Team Number]],RobotDesignResults[Team Number],RobotDesignResults[Communicate 2 (CV)])</f>
        <v>0</v>
      </c>
      <c r="K141" s="12"/>
      <c r="L141" s="12"/>
      <c r="M141" s="12"/>
      <c r="N141" s="12"/>
      <c r="O141" s="12"/>
      <c r="P141" s="12"/>
      <c r="Q141" s="8"/>
      <c r="R141" s="8"/>
      <c r="S141" s="8"/>
      <c r="T141" s="36">
        <f>SUM(CoreValuesResults[[#This Row],[Project CV 1 - EXPLORE]:[Engineering CV 4 - COMMUNINCATE]],CoreValuesResults[[#This Row],[Gracious Professionalism Score]])</f>
        <v>0</v>
      </c>
      <c r="U141" s="21">
        <f>IF(CoreValuesResults[[#This Row],[Team Number]]&gt;0,MIN(_xlfn.RANK.EQ(CoreValuesResults[[#This Row],[Core Values Score]],CoreValuesResults[Core Values Score],0),NumberOfTeams),NumberOfTeams+1)</f>
        <v>9</v>
      </c>
      <c r="V141" s="35"/>
      <c r="W141" s="35"/>
    </row>
    <row r="142" spans="1:23" ht="30" customHeight="1" x14ac:dyDescent="0.25">
      <c r="A142" s="8">
        <f>_xlfn.XLOOKUP(141,OfficialTeamList[Row],OfficialTeamList[Team Number],"ERROR",0)</f>
        <v>0</v>
      </c>
      <c r="B142" s="20" t="str">
        <f>_xlfn.XLOOKUP(CoreValuesResults[[#This Row],[Team Number]],OfficialTeamList[Team Number],OfficialTeamList[Team Name],"",0,)</f>
        <v/>
      </c>
      <c r="C142" s="66">
        <f>_xlfn.XLOOKUP(CoreValuesResults[[#This Row],[Team Number]],InnovationProjectResults[Team Number],InnovationProjectResults[Explore 2 (CV)])</f>
        <v>0</v>
      </c>
      <c r="D142" s="66">
        <f>_xlfn.XLOOKUP(CoreValuesResults[[#This Row],[Team Number]],InnovationProjectResults[Team Number],InnovationProjectResults[Ideate 3 (CV)])</f>
        <v>0</v>
      </c>
      <c r="E142" s="66">
        <f>_xlfn.XLOOKUP(CoreValuesResults[[#This Row],[Team Number]],InnovationProjectResults[Team Number],InnovationProjectResults[Implement 1 (CV)])</f>
        <v>0</v>
      </c>
      <c r="F142" s="66">
        <f>_xlfn.XLOOKUP(CoreValuesResults[[#This Row],[Team Number]],InnovationProjectResults[Team Number],InnovationProjectResults[Communicate 2 (CV)])</f>
        <v>0</v>
      </c>
      <c r="G142" s="66">
        <f>_xlfn.XLOOKUP(CoreValuesResults[[#This Row],[Team Number]],RobotDesignResults[Team Number],RobotDesignResults[Identify 2 (CV)])</f>
        <v>0</v>
      </c>
      <c r="H142" s="66">
        <f>_xlfn.XLOOKUP(CoreValuesResults[[#This Row],[Team Number]],RobotDesignResults[Team Number],RobotDesignResults[Iterate 3 (CV)])</f>
        <v>0</v>
      </c>
      <c r="I142" s="66">
        <f>_xlfn.XLOOKUP(CoreValuesResults[[#This Row],[Team Number]],RobotDesignResults[Team Number],RobotDesignResults[Communicate 1 (CV)])</f>
        <v>0</v>
      </c>
      <c r="J142" s="66">
        <f>_xlfn.XLOOKUP(CoreValuesResults[[#This Row],[Team Number]],RobotDesignResults[Team Number],RobotDesignResults[Communicate 2 (CV)])</f>
        <v>0</v>
      </c>
      <c r="K142" s="12"/>
      <c r="L142" s="12"/>
      <c r="M142" s="12"/>
      <c r="N142" s="12"/>
      <c r="O142" s="12"/>
      <c r="P142" s="12"/>
      <c r="Q142" s="8"/>
      <c r="R142" s="8"/>
      <c r="S142" s="8"/>
      <c r="T142" s="36">
        <f>SUM(CoreValuesResults[[#This Row],[Project CV 1 - EXPLORE]:[Engineering CV 4 - COMMUNINCATE]],CoreValuesResults[[#This Row],[Gracious Professionalism Score]])</f>
        <v>0</v>
      </c>
      <c r="U142" s="21">
        <f>IF(CoreValuesResults[[#This Row],[Team Number]]&gt;0,MIN(_xlfn.RANK.EQ(CoreValuesResults[[#This Row],[Core Values Score]],CoreValuesResults[Core Values Score],0),NumberOfTeams),NumberOfTeams+1)</f>
        <v>9</v>
      </c>
      <c r="V142" s="35"/>
      <c r="W142" s="35"/>
    </row>
    <row r="143" spans="1:23" ht="30" customHeight="1" x14ac:dyDescent="0.25">
      <c r="A143" s="8">
        <f>_xlfn.XLOOKUP(142,OfficialTeamList[Row],OfficialTeamList[Team Number],"ERROR",0)</f>
        <v>0</v>
      </c>
      <c r="B143" s="20" t="str">
        <f>_xlfn.XLOOKUP(CoreValuesResults[[#This Row],[Team Number]],OfficialTeamList[Team Number],OfficialTeamList[Team Name],"",0,)</f>
        <v/>
      </c>
      <c r="C143" s="66">
        <f>_xlfn.XLOOKUP(CoreValuesResults[[#This Row],[Team Number]],InnovationProjectResults[Team Number],InnovationProjectResults[Explore 2 (CV)])</f>
        <v>0</v>
      </c>
      <c r="D143" s="66">
        <f>_xlfn.XLOOKUP(CoreValuesResults[[#This Row],[Team Number]],InnovationProjectResults[Team Number],InnovationProjectResults[Ideate 3 (CV)])</f>
        <v>0</v>
      </c>
      <c r="E143" s="66">
        <f>_xlfn.XLOOKUP(CoreValuesResults[[#This Row],[Team Number]],InnovationProjectResults[Team Number],InnovationProjectResults[Implement 1 (CV)])</f>
        <v>0</v>
      </c>
      <c r="F143" s="66">
        <f>_xlfn.XLOOKUP(CoreValuesResults[[#This Row],[Team Number]],InnovationProjectResults[Team Number],InnovationProjectResults[Communicate 2 (CV)])</f>
        <v>0</v>
      </c>
      <c r="G143" s="66">
        <f>_xlfn.XLOOKUP(CoreValuesResults[[#This Row],[Team Number]],RobotDesignResults[Team Number],RobotDesignResults[Identify 2 (CV)])</f>
        <v>0</v>
      </c>
      <c r="H143" s="66">
        <f>_xlfn.XLOOKUP(CoreValuesResults[[#This Row],[Team Number]],RobotDesignResults[Team Number],RobotDesignResults[Iterate 3 (CV)])</f>
        <v>0</v>
      </c>
      <c r="I143" s="66">
        <f>_xlfn.XLOOKUP(CoreValuesResults[[#This Row],[Team Number]],RobotDesignResults[Team Number],RobotDesignResults[Communicate 1 (CV)])</f>
        <v>0</v>
      </c>
      <c r="J143" s="66">
        <f>_xlfn.XLOOKUP(CoreValuesResults[[#This Row],[Team Number]],RobotDesignResults[Team Number],RobotDesignResults[Communicate 2 (CV)])</f>
        <v>0</v>
      </c>
      <c r="K143" s="12"/>
      <c r="L143" s="12"/>
      <c r="M143" s="12"/>
      <c r="N143" s="12"/>
      <c r="O143" s="12"/>
      <c r="P143" s="12"/>
      <c r="Q143" s="8"/>
      <c r="R143" s="8"/>
      <c r="S143" s="8"/>
      <c r="T143" s="36">
        <f>SUM(CoreValuesResults[[#This Row],[Project CV 1 - EXPLORE]:[Engineering CV 4 - COMMUNINCATE]],CoreValuesResults[[#This Row],[Gracious Professionalism Score]])</f>
        <v>0</v>
      </c>
      <c r="U143" s="21">
        <f>IF(CoreValuesResults[[#This Row],[Team Number]]&gt;0,MIN(_xlfn.RANK.EQ(CoreValuesResults[[#This Row],[Core Values Score]],CoreValuesResults[Core Values Score],0),NumberOfTeams),NumberOfTeams+1)</f>
        <v>9</v>
      </c>
      <c r="V143" s="35"/>
      <c r="W143" s="35"/>
    </row>
    <row r="144" spans="1:23" ht="30" customHeight="1" x14ac:dyDescent="0.25">
      <c r="A144" s="8">
        <f>_xlfn.XLOOKUP(143,OfficialTeamList[Row],OfficialTeamList[Team Number],"ERROR",0)</f>
        <v>0</v>
      </c>
      <c r="B144" s="20" t="str">
        <f>_xlfn.XLOOKUP(CoreValuesResults[[#This Row],[Team Number]],OfficialTeamList[Team Number],OfficialTeamList[Team Name],"",0,)</f>
        <v/>
      </c>
      <c r="C144" s="66">
        <f>_xlfn.XLOOKUP(CoreValuesResults[[#This Row],[Team Number]],InnovationProjectResults[Team Number],InnovationProjectResults[Explore 2 (CV)])</f>
        <v>0</v>
      </c>
      <c r="D144" s="66">
        <f>_xlfn.XLOOKUP(CoreValuesResults[[#This Row],[Team Number]],InnovationProjectResults[Team Number],InnovationProjectResults[Ideate 3 (CV)])</f>
        <v>0</v>
      </c>
      <c r="E144" s="66">
        <f>_xlfn.XLOOKUP(CoreValuesResults[[#This Row],[Team Number]],InnovationProjectResults[Team Number],InnovationProjectResults[Implement 1 (CV)])</f>
        <v>0</v>
      </c>
      <c r="F144" s="66">
        <f>_xlfn.XLOOKUP(CoreValuesResults[[#This Row],[Team Number]],InnovationProjectResults[Team Number],InnovationProjectResults[Communicate 2 (CV)])</f>
        <v>0</v>
      </c>
      <c r="G144" s="66">
        <f>_xlfn.XLOOKUP(CoreValuesResults[[#This Row],[Team Number]],RobotDesignResults[Team Number],RobotDesignResults[Identify 2 (CV)])</f>
        <v>0</v>
      </c>
      <c r="H144" s="66">
        <f>_xlfn.XLOOKUP(CoreValuesResults[[#This Row],[Team Number]],RobotDesignResults[Team Number],RobotDesignResults[Iterate 3 (CV)])</f>
        <v>0</v>
      </c>
      <c r="I144" s="66">
        <f>_xlfn.XLOOKUP(CoreValuesResults[[#This Row],[Team Number]],RobotDesignResults[Team Number],RobotDesignResults[Communicate 1 (CV)])</f>
        <v>0</v>
      </c>
      <c r="J144" s="66">
        <f>_xlfn.XLOOKUP(CoreValuesResults[[#This Row],[Team Number]],RobotDesignResults[Team Number],RobotDesignResults[Communicate 2 (CV)])</f>
        <v>0</v>
      </c>
      <c r="K144" s="12"/>
      <c r="L144" s="12"/>
      <c r="M144" s="12"/>
      <c r="N144" s="12"/>
      <c r="O144" s="12"/>
      <c r="P144" s="12"/>
      <c r="Q144" s="8"/>
      <c r="R144" s="8"/>
      <c r="S144" s="8"/>
      <c r="T144" s="36">
        <f>SUM(CoreValuesResults[[#This Row],[Project CV 1 - EXPLORE]:[Engineering CV 4 - COMMUNINCATE]],CoreValuesResults[[#This Row],[Gracious Professionalism Score]])</f>
        <v>0</v>
      </c>
      <c r="U144" s="21">
        <f>IF(CoreValuesResults[[#This Row],[Team Number]]&gt;0,MIN(_xlfn.RANK.EQ(CoreValuesResults[[#This Row],[Core Values Score]],CoreValuesResults[Core Values Score],0),NumberOfTeams),NumberOfTeams+1)</f>
        <v>9</v>
      </c>
      <c r="V144" s="35"/>
      <c r="W144" s="35"/>
    </row>
    <row r="145" spans="1:23" ht="30" customHeight="1" x14ac:dyDescent="0.25">
      <c r="A145" s="8">
        <f>_xlfn.XLOOKUP(144,OfficialTeamList[Row],OfficialTeamList[Team Number],"ERROR",0)</f>
        <v>0</v>
      </c>
      <c r="B145" s="20" t="str">
        <f>_xlfn.XLOOKUP(CoreValuesResults[[#This Row],[Team Number]],OfficialTeamList[Team Number],OfficialTeamList[Team Name],"",0,)</f>
        <v/>
      </c>
      <c r="C145" s="66">
        <f>_xlfn.XLOOKUP(CoreValuesResults[[#This Row],[Team Number]],InnovationProjectResults[Team Number],InnovationProjectResults[Explore 2 (CV)])</f>
        <v>0</v>
      </c>
      <c r="D145" s="66">
        <f>_xlfn.XLOOKUP(CoreValuesResults[[#This Row],[Team Number]],InnovationProjectResults[Team Number],InnovationProjectResults[Ideate 3 (CV)])</f>
        <v>0</v>
      </c>
      <c r="E145" s="66">
        <f>_xlfn.XLOOKUP(CoreValuesResults[[#This Row],[Team Number]],InnovationProjectResults[Team Number],InnovationProjectResults[Implement 1 (CV)])</f>
        <v>0</v>
      </c>
      <c r="F145" s="66">
        <f>_xlfn.XLOOKUP(CoreValuesResults[[#This Row],[Team Number]],InnovationProjectResults[Team Number],InnovationProjectResults[Communicate 2 (CV)])</f>
        <v>0</v>
      </c>
      <c r="G145" s="66">
        <f>_xlfn.XLOOKUP(CoreValuesResults[[#This Row],[Team Number]],RobotDesignResults[Team Number],RobotDesignResults[Identify 2 (CV)])</f>
        <v>0</v>
      </c>
      <c r="H145" s="66">
        <f>_xlfn.XLOOKUP(CoreValuesResults[[#This Row],[Team Number]],RobotDesignResults[Team Number],RobotDesignResults[Iterate 3 (CV)])</f>
        <v>0</v>
      </c>
      <c r="I145" s="66">
        <f>_xlfn.XLOOKUP(CoreValuesResults[[#This Row],[Team Number]],RobotDesignResults[Team Number],RobotDesignResults[Communicate 1 (CV)])</f>
        <v>0</v>
      </c>
      <c r="J145" s="66">
        <f>_xlfn.XLOOKUP(CoreValuesResults[[#This Row],[Team Number]],RobotDesignResults[Team Number],RobotDesignResults[Communicate 2 (CV)])</f>
        <v>0</v>
      </c>
      <c r="K145" s="12"/>
      <c r="L145" s="12"/>
      <c r="M145" s="12"/>
      <c r="N145" s="12"/>
      <c r="O145" s="12"/>
      <c r="P145" s="12"/>
      <c r="Q145" s="8"/>
      <c r="R145" s="8"/>
      <c r="S145" s="8"/>
      <c r="T145" s="36">
        <f>SUM(CoreValuesResults[[#This Row],[Project CV 1 - EXPLORE]:[Engineering CV 4 - COMMUNINCATE]],CoreValuesResults[[#This Row],[Gracious Professionalism Score]])</f>
        <v>0</v>
      </c>
      <c r="U145" s="21">
        <f>IF(CoreValuesResults[[#This Row],[Team Number]]&gt;0,MIN(_xlfn.RANK.EQ(CoreValuesResults[[#This Row],[Core Values Score]],CoreValuesResults[Core Values Score],0),NumberOfTeams),NumberOfTeams+1)</f>
        <v>9</v>
      </c>
      <c r="V145" s="35"/>
      <c r="W145" s="35"/>
    </row>
    <row r="146" spans="1:23" ht="30" customHeight="1" x14ac:dyDescent="0.25">
      <c r="A146" s="8">
        <f>_xlfn.XLOOKUP(145,OfficialTeamList[Row],OfficialTeamList[Team Number],"ERROR",0)</f>
        <v>0</v>
      </c>
      <c r="B146" s="20" t="str">
        <f>_xlfn.XLOOKUP(CoreValuesResults[[#This Row],[Team Number]],OfficialTeamList[Team Number],OfficialTeamList[Team Name],"",0,)</f>
        <v/>
      </c>
      <c r="C146" s="66">
        <f>_xlfn.XLOOKUP(CoreValuesResults[[#This Row],[Team Number]],InnovationProjectResults[Team Number],InnovationProjectResults[Explore 2 (CV)])</f>
        <v>0</v>
      </c>
      <c r="D146" s="66">
        <f>_xlfn.XLOOKUP(CoreValuesResults[[#This Row],[Team Number]],InnovationProjectResults[Team Number],InnovationProjectResults[Ideate 3 (CV)])</f>
        <v>0</v>
      </c>
      <c r="E146" s="66">
        <f>_xlfn.XLOOKUP(CoreValuesResults[[#This Row],[Team Number]],InnovationProjectResults[Team Number],InnovationProjectResults[Implement 1 (CV)])</f>
        <v>0</v>
      </c>
      <c r="F146" s="66">
        <f>_xlfn.XLOOKUP(CoreValuesResults[[#This Row],[Team Number]],InnovationProjectResults[Team Number],InnovationProjectResults[Communicate 2 (CV)])</f>
        <v>0</v>
      </c>
      <c r="G146" s="66">
        <f>_xlfn.XLOOKUP(CoreValuesResults[[#This Row],[Team Number]],RobotDesignResults[Team Number],RobotDesignResults[Identify 2 (CV)])</f>
        <v>0</v>
      </c>
      <c r="H146" s="66">
        <f>_xlfn.XLOOKUP(CoreValuesResults[[#This Row],[Team Number]],RobotDesignResults[Team Number],RobotDesignResults[Iterate 3 (CV)])</f>
        <v>0</v>
      </c>
      <c r="I146" s="66">
        <f>_xlfn.XLOOKUP(CoreValuesResults[[#This Row],[Team Number]],RobotDesignResults[Team Number],RobotDesignResults[Communicate 1 (CV)])</f>
        <v>0</v>
      </c>
      <c r="J146" s="66">
        <f>_xlfn.XLOOKUP(CoreValuesResults[[#This Row],[Team Number]],RobotDesignResults[Team Number],RobotDesignResults[Communicate 2 (CV)])</f>
        <v>0</v>
      </c>
      <c r="K146" s="12"/>
      <c r="L146" s="12"/>
      <c r="M146" s="12"/>
      <c r="N146" s="12"/>
      <c r="O146" s="12"/>
      <c r="P146" s="12"/>
      <c r="Q146" s="8"/>
      <c r="R146" s="8"/>
      <c r="S146" s="8"/>
      <c r="T146" s="36">
        <f>SUM(CoreValuesResults[[#This Row],[Project CV 1 - EXPLORE]:[Engineering CV 4 - COMMUNINCATE]],CoreValuesResults[[#This Row],[Gracious Professionalism Score]])</f>
        <v>0</v>
      </c>
      <c r="U146" s="21">
        <f>IF(CoreValuesResults[[#This Row],[Team Number]]&gt;0,MIN(_xlfn.RANK.EQ(CoreValuesResults[[#This Row],[Core Values Score]],CoreValuesResults[Core Values Score],0),NumberOfTeams),NumberOfTeams+1)</f>
        <v>9</v>
      </c>
      <c r="V146" s="35"/>
      <c r="W146" s="35"/>
    </row>
    <row r="147" spans="1:23" ht="30" customHeight="1" x14ac:dyDescent="0.25">
      <c r="A147" s="8">
        <f>_xlfn.XLOOKUP(146,OfficialTeamList[Row],OfficialTeamList[Team Number],"ERROR",0)</f>
        <v>0</v>
      </c>
      <c r="B147" s="20" t="str">
        <f>_xlfn.XLOOKUP(CoreValuesResults[[#This Row],[Team Number]],OfficialTeamList[Team Number],OfficialTeamList[Team Name],"",0,)</f>
        <v/>
      </c>
      <c r="C147" s="66">
        <f>_xlfn.XLOOKUP(CoreValuesResults[[#This Row],[Team Number]],InnovationProjectResults[Team Number],InnovationProjectResults[Explore 2 (CV)])</f>
        <v>0</v>
      </c>
      <c r="D147" s="66">
        <f>_xlfn.XLOOKUP(CoreValuesResults[[#This Row],[Team Number]],InnovationProjectResults[Team Number],InnovationProjectResults[Ideate 3 (CV)])</f>
        <v>0</v>
      </c>
      <c r="E147" s="66">
        <f>_xlfn.XLOOKUP(CoreValuesResults[[#This Row],[Team Number]],InnovationProjectResults[Team Number],InnovationProjectResults[Implement 1 (CV)])</f>
        <v>0</v>
      </c>
      <c r="F147" s="66">
        <f>_xlfn.XLOOKUP(CoreValuesResults[[#This Row],[Team Number]],InnovationProjectResults[Team Number],InnovationProjectResults[Communicate 2 (CV)])</f>
        <v>0</v>
      </c>
      <c r="G147" s="66">
        <f>_xlfn.XLOOKUP(CoreValuesResults[[#This Row],[Team Number]],RobotDesignResults[Team Number],RobotDesignResults[Identify 2 (CV)])</f>
        <v>0</v>
      </c>
      <c r="H147" s="66">
        <f>_xlfn.XLOOKUP(CoreValuesResults[[#This Row],[Team Number]],RobotDesignResults[Team Number],RobotDesignResults[Iterate 3 (CV)])</f>
        <v>0</v>
      </c>
      <c r="I147" s="66">
        <f>_xlfn.XLOOKUP(CoreValuesResults[[#This Row],[Team Number]],RobotDesignResults[Team Number],RobotDesignResults[Communicate 1 (CV)])</f>
        <v>0</v>
      </c>
      <c r="J147" s="66">
        <f>_xlfn.XLOOKUP(CoreValuesResults[[#This Row],[Team Number]],RobotDesignResults[Team Number],RobotDesignResults[Communicate 2 (CV)])</f>
        <v>0</v>
      </c>
      <c r="K147" s="12"/>
      <c r="L147" s="12"/>
      <c r="M147" s="12"/>
      <c r="N147" s="12"/>
      <c r="O147" s="12"/>
      <c r="P147" s="12"/>
      <c r="Q147" s="8"/>
      <c r="R147" s="8"/>
      <c r="S147" s="8"/>
      <c r="T147" s="36">
        <f>SUM(CoreValuesResults[[#This Row],[Project CV 1 - EXPLORE]:[Engineering CV 4 - COMMUNINCATE]],CoreValuesResults[[#This Row],[Gracious Professionalism Score]])</f>
        <v>0</v>
      </c>
      <c r="U147" s="21">
        <f>IF(CoreValuesResults[[#This Row],[Team Number]]&gt;0,MIN(_xlfn.RANK.EQ(CoreValuesResults[[#This Row],[Core Values Score]],CoreValuesResults[Core Values Score],0),NumberOfTeams),NumberOfTeams+1)</f>
        <v>9</v>
      </c>
      <c r="V147" s="35"/>
      <c r="W147" s="35"/>
    </row>
    <row r="148" spans="1:23" ht="30" customHeight="1" x14ac:dyDescent="0.25">
      <c r="A148" s="8">
        <f>_xlfn.XLOOKUP(147,OfficialTeamList[Row],OfficialTeamList[Team Number],"ERROR",0)</f>
        <v>0</v>
      </c>
      <c r="B148" s="20" t="str">
        <f>_xlfn.XLOOKUP(CoreValuesResults[[#This Row],[Team Number]],OfficialTeamList[Team Number],OfficialTeamList[Team Name],"",0,)</f>
        <v/>
      </c>
      <c r="C148" s="66">
        <f>_xlfn.XLOOKUP(CoreValuesResults[[#This Row],[Team Number]],InnovationProjectResults[Team Number],InnovationProjectResults[Explore 2 (CV)])</f>
        <v>0</v>
      </c>
      <c r="D148" s="66">
        <f>_xlfn.XLOOKUP(CoreValuesResults[[#This Row],[Team Number]],InnovationProjectResults[Team Number],InnovationProjectResults[Ideate 3 (CV)])</f>
        <v>0</v>
      </c>
      <c r="E148" s="66">
        <f>_xlfn.XLOOKUP(CoreValuesResults[[#This Row],[Team Number]],InnovationProjectResults[Team Number],InnovationProjectResults[Implement 1 (CV)])</f>
        <v>0</v>
      </c>
      <c r="F148" s="66">
        <f>_xlfn.XLOOKUP(CoreValuesResults[[#This Row],[Team Number]],InnovationProjectResults[Team Number],InnovationProjectResults[Communicate 2 (CV)])</f>
        <v>0</v>
      </c>
      <c r="G148" s="66">
        <f>_xlfn.XLOOKUP(CoreValuesResults[[#This Row],[Team Number]],RobotDesignResults[Team Number],RobotDesignResults[Identify 2 (CV)])</f>
        <v>0</v>
      </c>
      <c r="H148" s="66">
        <f>_xlfn.XLOOKUP(CoreValuesResults[[#This Row],[Team Number]],RobotDesignResults[Team Number],RobotDesignResults[Iterate 3 (CV)])</f>
        <v>0</v>
      </c>
      <c r="I148" s="66">
        <f>_xlfn.XLOOKUP(CoreValuesResults[[#This Row],[Team Number]],RobotDesignResults[Team Number],RobotDesignResults[Communicate 1 (CV)])</f>
        <v>0</v>
      </c>
      <c r="J148" s="66">
        <f>_xlfn.XLOOKUP(CoreValuesResults[[#This Row],[Team Number]],RobotDesignResults[Team Number],RobotDesignResults[Communicate 2 (CV)])</f>
        <v>0</v>
      </c>
      <c r="K148" s="12"/>
      <c r="L148" s="12"/>
      <c r="M148" s="12"/>
      <c r="N148" s="12"/>
      <c r="O148" s="12"/>
      <c r="P148" s="12"/>
      <c r="Q148" s="8"/>
      <c r="R148" s="8"/>
      <c r="S148" s="8"/>
      <c r="T148" s="36">
        <f>SUM(CoreValuesResults[[#This Row],[Project CV 1 - EXPLORE]:[Engineering CV 4 - COMMUNINCATE]],CoreValuesResults[[#This Row],[Gracious Professionalism Score]])</f>
        <v>0</v>
      </c>
      <c r="U148" s="21">
        <f>IF(CoreValuesResults[[#This Row],[Team Number]]&gt;0,MIN(_xlfn.RANK.EQ(CoreValuesResults[[#This Row],[Core Values Score]],CoreValuesResults[Core Values Score],0),NumberOfTeams),NumberOfTeams+1)</f>
        <v>9</v>
      </c>
      <c r="V148" s="35"/>
      <c r="W148" s="35"/>
    </row>
    <row r="149" spans="1:23" ht="30" customHeight="1" x14ac:dyDescent="0.25">
      <c r="A149" s="8">
        <f>_xlfn.XLOOKUP(148,OfficialTeamList[Row],OfficialTeamList[Team Number],"ERROR",0)</f>
        <v>0</v>
      </c>
      <c r="B149" s="20" t="str">
        <f>_xlfn.XLOOKUP(CoreValuesResults[[#This Row],[Team Number]],OfficialTeamList[Team Number],OfficialTeamList[Team Name],"",0,)</f>
        <v/>
      </c>
      <c r="C149" s="66">
        <f>_xlfn.XLOOKUP(CoreValuesResults[[#This Row],[Team Number]],InnovationProjectResults[Team Number],InnovationProjectResults[Explore 2 (CV)])</f>
        <v>0</v>
      </c>
      <c r="D149" s="66">
        <f>_xlfn.XLOOKUP(CoreValuesResults[[#This Row],[Team Number]],InnovationProjectResults[Team Number],InnovationProjectResults[Ideate 3 (CV)])</f>
        <v>0</v>
      </c>
      <c r="E149" s="66">
        <f>_xlfn.XLOOKUP(CoreValuesResults[[#This Row],[Team Number]],InnovationProjectResults[Team Number],InnovationProjectResults[Implement 1 (CV)])</f>
        <v>0</v>
      </c>
      <c r="F149" s="66">
        <f>_xlfn.XLOOKUP(CoreValuesResults[[#This Row],[Team Number]],InnovationProjectResults[Team Number],InnovationProjectResults[Communicate 2 (CV)])</f>
        <v>0</v>
      </c>
      <c r="G149" s="66">
        <f>_xlfn.XLOOKUP(CoreValuesResults[[#This Row],[Team Number]],RobotDesignResults[Team Number],RobotDesignResults[Identify 2 (CV)])</f>
        <v>0</v>
      </c>
      <c r="H149" s="66">
        <f>_xlfn.XLOOKUP(CoreValuesResults[[#This Row],[Team Number]],RobotDesignResults[Team Number],RobotDesignResults[Iterate 3 (CV)])</f>
        <v>0</v>
      </c>
      <c r="I149" s="66">
        <f>_xlfn.XLOOKUP(CoreValuesResults[[#This Row],[Team Number]],RobotDesignResults[Team Number],RobotDesignResults[Communicate 1 (CV)])</f>
        <v>0</v>
      </c>
      <c r="J149" s="66">
        <f>_xlfn.XLOOKUP(CoreValuesResults[[#This Row],[Team Number]],RobotDesignResults[Team Number],RobotDesignResults[Communicate 2 (CV)])</f>
        <v>0</v>
      </c>
      <c r="K149" s="12"/>
      <c r="L149" s="12"/>
      <c r="M149" s="12"/>
      <c r="N149" s="12"/>
      <c r="O149" s="12"/>
      <c r="P149" s="12"/>
      <c r="Q149" s="8"/>
      <c r="R149" s="8"/>
      <c r="S149" s="8"/>
      <c r="T149" s="36">
        <f>SUM(CoreValuesResults[[#This Row],[Project CV 1 - EXPLORE]:[Engineering CV 4 - COMMUNINCATE]],CoreValuesResults[[#This Row],[Gracious Professionalism Score]])</f>
        <v>0</v>
      </c>
      <c r="U149" s="21">
        <f>IF(CoreValuesResults[[#This Row],[Team Number]]&gt;0,MIN(_xlfn.RANK.EQ(CoreValuesResults[[#This Row],[Core Values Score]],CoreValuesResults[Core Values Score],0),NumberOfTeams),NumberOfTeams+1)</f>
        <v>9</v>
      </c>
      <c r="V149" s="35"/>
      <c r="W149" s="35"/>
    </row>
    <row r="150" spans="1:23" ht="30" customHeight="1" x14ac:dyDescent="0.25">
      <c r="A150" s="8">
        <f>_xlfn.XLOOKUP(149,OfficialTeamList[Row],OfficialTeamList[Team Number],"ERROR",0)</f>
        <v>0</v>
      </c>
      <c r="B150" s="20" t="str">
        <f>_xlfn.XLOOKUP(CoreValuesResults[[#This Row],[Team Number]],OfficialTeamList[Team Number],OfficialTeamList[Team Name],"",0,)</f>
        <v/>
      </c>
      <c r="C150" s="66">
        <f>_xlfn.XLOOKUP(CoreValuesResults[[#This Row],[Team Number]],InnovationProjectResults[Team Number],InnovationProjectResults[Explore 2 (CV)])</f>
        <v>0</v>
      </c>
      <c r="D150" s="66">
        <f>_xlfn.XLOOKUP(CoreValuesResults[[#This Row],[Team Number]],InnovationProjectResults[Team Number],InnovationProjectResults[Ideate 3 (CV)])</f>
        <v>0</v>
      </c>
      <c r="E150" s="66">
        <f>_xlfn.XLOOKUP(CoreValuesResults[[#This Row],[Team Number]],InnovationProjectResults[Team Number],InnovationProjectResults[Implement 1 (CV)])</f>
        <v>0</v>
      </c>
      <c r="F150" s="66">
        <f>_xlfn.XLOOKUP(CoreValuesResults[[#This Row],[Team Number]],InnovationProjectResults[Team Number],InnovationProjectResults[Communicate 2 (CV)])</f>
        <v>0</v>
      </c>
      <c r="G150" s="66">
        <f>_xlfn.XLOOKUP(CoreValuesResults[[#This Row],[Team Number]],RobotDesignResults[Team Number],RobotDesignResults[Identify 2 (CV)])</f>
        <v>0</v>
      </c>
      <c r="H150" s="66">
        <f>_xlfn.XLOOKUP(CoreValuesResults[[#This Row],[Team Number]],RobotDesignResults[Team Number],RobotDesignResults[Iterate 3 (CV)])</f>
        <v>0</v>
      </c>
      <c r="I150" s="66">
        <f>_xlfn.XLOOKUP(CoreValuesResults[[#This Row],[Team Number]],RobotDesignResults[Team Number],RobotDesignResults[Communicate 1 (CV)])</f>
        <v>0</v>
      </c>
      <c r="J150" s="66">
        <f>_xlfn.XLOOKUP(CoreValuesResults[[#This Row],[Team Number]],RobotDesignResults[Team Number],RobotDesignResults[Communicate 2 (CV)])</f>
        <v>0</v>
      </c>
      <c r="K150" s="12"/>
      <c r="L150" s="12"/>
      <c r="M150" s="12"/>
      <c r="N150" s="12"/>
      <c r="O150" s="12"/>
      <c r="P150" s="12"/>
      <c r="Q150" s="8"/>
      <c r="R150" s="8"/>
      <c r="S150" s="8"/>
      <c r="T150" s="36">
        <f>SUM(CoreValuesResults[[#This Row],[Project CV 1 - EXPLORE]:[Engineering CV 4 - COMMUNINCATE]],CoreValuesResults[[#This Row],[Gracious Professionalism Score]])</f>
        <v>0</v>
      </c>
      <c r="U150" s="21">
        <f>IF(CoreValuesResults[[#This Row],[Team Number]]&gt;0,MIN(_xlfn.RANK.EQ(CoreValuesResults[[#This Row],[Core Values Score]],CoreValuesResults[Core Values Score],0),NumberOfTeams),NumberOfTeams+1)</f>
        <v>9</v>
      </c>
      <c r="V150" s="35"/>
      <c r="W150" s="35"/>
    </row>
    <row r="151" spans="1:23" ht="30" customHeight="1" x14ac:dyDescent="0.25">
      <c r="A151" s="8">
        <f>_xlfn.XLOOKUP(150,OfficialTeamList[Row],OfficialTeamList[Team Number],"ERROR",0)</f>
        <v>0</v>
      </c>
      <c r="B151" s="20" t="str">
        <f>_xlfn.XLOOKUP(CoreValuesResults[[#This Row],[Team Number]],OfficialTeamList[Team Number],OfficialTeamList[Team Name],"",0,)</f>
        <v/>
      </c>
      <c r="C151" s="66">
        <f>_xlfn.XLOOKUP(CoreValuesResults[[#This Row],[Team Number]],InnovationProjectResults[Team Number],InnovationProjectResults[Explore 2 (CV)])</f>
        <v>0</v>
      </c>
      <c r="D151" s="66">
        <f>_xlfn.XLOOKUP(CoreValuesResults[[#This Row],[Team Number]],InnovationProjectResults[Team Number],InnovationProjectResults[Ideate 3 (CV)])</f>
        <v>0</v>
      </c>
      <c r="E151" s="66">
        <f>_xlfn.XLOOKUP(CoreValuesResults[[#This Row],[Team Number]],InnovationProjectResults[Team Number],InnovationProjectResults[Implement 1 (CV)])</f>
        <v>0</v>
      </c>
      <c r="F151" s="66">
        <f>_xlfn.XLOOKUP(CoreValuesResults[[#This Row],[Team Number]],InnovationProjectResults[Team Number],InnovationProjectResults[Communicate 2 (CV)])</f>
        <v>0</v>
      </c>
      <c r="G151" s="66">
        <f>_xlfn.XLOOKUP(CoreValuesResults[[#This Row],[Team Number]],RobotDesignResults[Team Number],RobotDesignResults[Identify 2 (CV)])</f>
        <v>0</v>
      </c>
      <c r="H151" s="66">
        <f>_xlfn.XLOOKUP(CoreValuesResults[[#This Row],[Team Number]],RobotDesignResults[Team Number],RobotDesignResults[Iterate 3 (CV)])</f>
        <v>0</v>
      </c>
      <c r="I151" s="66">
        <f>_xlfn.XLOOKUP(CoreValuesResults[[#This Row],[Team Number]],RobotDesignResults[Team Number],RobotDesignResults[Communicate 1 (CV)])</f>
        <v>0</v>
      </c>
      <c r="J151" s="66">
        <f>_xlfn.XLOOKUP(CoreValuesResults[[#This Row],[Team Number]],RobotDesignResults[Team Number],RobotDesignResults[Communicate 2 (CV)])</f>
        <v>0</v>
      </c>
      <c r="K151" s="12"/>
      <c r="L151" s="12"/>
      <c r="M151" s="12"/>
      <c r="N151" s="12"/>
      <c r="O151" s="12"/>
      <c r="P151" s="12"/>
      <c r="Q151" s="8"/>
      <c r="R151" s="8"/>
      <c r="S151" s="8"/>
      <c r="T151" s="36">
        <f>SUM(CoreValuesResults[[#This Row],[Project CV 1 - EXPLORE]:[Engineering CV 4 - COMMUNINCATE]],CoreValuesResults[[#This Row],[Gracious Professionalism Score]])</f>
        <v>0</v>
      </c>
      <c r="U151" s="21">
        <f>IF(CoreValuesResults[[#This Row],[Team Number]]&gt;0,MIN(_xlfn.RANK.EQ(CoreValuesResults[[#This Row],[Core Values Score]],CoreValuesResults[Core Values Score],0),NumberOfTeams),NumberOfTeams+1)</f>
        <v>9</v>
      </c>
      <c r="V151" s="35"/>
      <c r="W151" s="35"/>
    </row>
    <row r="152" spans="1:23" ht="30" customHeight="1" x14ac:dyDescent="0.25">
      <c r="A152" s="8">
        <f>_xlfn.XLOOKUP(151,OfficialTeamList[Row],OfficialTeamList[Team Number],"ERROR",0)</f>
        <v>0</v>
      </c>
      <c r="B152" s="20" t="str">
        <f>_xlfn.XLOOKUP(CoreValuesResults[[#This Row],[Team Number]],OfficialTeamList[Team Number],OfficialTeamList[Team Name],"",0,)</f>
        <v/>
      </c>
      <c r="C152" s="66">
        <f>_xlfn.XLOOKUP(CoreValuesResults[[#This Row],[Team Number]],InnovationProjectResults[Team Number],InnovationProjectResults[Explore 2 (CV)])</f>
        <v>0</v>
      </c>
      <c r="D152" s="66">
        <f>_xlfn.XLOOKUP(CoreValuesResults[[#This Row],[Team Number]],InnovationProjectResults[Team Number],InnovationProjectResults[Ideate 3 (CV)])</f>
        <v>0</v>
      </c>
      <c r="E152" s="66">
        <f>_xlfn.XLOOKUP(CoreValuesResults[[#This Row],[Team Number]],InnovationProjectResults[Team Number],InnovationProjectResults[Implement 1 (CV)])</f>
        <v>0</v>
      </c>
      <c r="F152" s="66">
        <f>_xlfn.XLOOKUP(CoreValuesResults[[#This Row],[Team Number]],InnovationProjectResults[Team Number],InnovationProjectResults[Communicate 2 (CV)])</f>
        <v>0</v>
      </c>
      <c r="G152" s="66">
        <f>_xlfn.XLOOKUP(CoreValuesResults[[#This Row],[Team Number]],RobotDesignResults[Team Number],RobotDesignResults[Identify 2 (CV)])</f>
        <v>0</v>
      </c>
      <c r="H152" s="66">
        <f>_xlfn.XLOOKUP(CoreValuesResults[[#This Row],[Team Number]],RobotDesignResults[Team Number],RobotDesignResults[Iterate 3 (CV)])</f>
        <v>0</v>
      </c>
      <c r="I152" s="66">
        <f>_xlfn.XLOOKUP(CoreValuesResults[[#This Row],[Team Number]],RobotDesignResults[Team Number],RobotDesignResults[Communicate 1 (CV)])</f>
        <v>0</v>
      </c>
      <c r="J152" s="66">
        <f>_xlfn.XLOOKUP(CoreValuesResults[[#This Row],[Team Number]],RobotDesignResults[Team Number],RobotDesignResults[Communicate 2 (CV)])</f>
        <v>0</v>
      </c>
      <c r="K152" s="12"/>
      <c r="L152" s="12"/>
      <c r="M152" s="12"/>
      <c r="N152" s="12"/>
      <c r="O152" s="12"/>
      <c r="P152" s="12"/>
      <c r="Q152" s="8"/>
      <c r="R152" s="8"/>
      <c r="S152" s="8"/>
      <c r="T152" s="36">
        <f>SUM(CoreValuesResults[[#This Row],[Project CV 1 - EXPLORE]:[Engineering CV 4 - COMMUNINCATE]],CoreValuesResults[[#This Row],[Gracious Professionalism Score]])</f>
        <v>0</v>
      </c>
      <c r="U152" s="21">
        <f>IF(CoreValuesResults[[#This Row],[Team Number]]&gt;0,MIN(_xlfn.RANK.EQ(CoreValuesResults[[#This Row],[Core Values Score]],CoreValuesResults[Core Values Score],0),NumberOfTeams),NumberOfTeams+1)</f>
        <v>9</v>
      </c>
      <c r="V152" s="35"/>
      <c r="W152" s="35"/>
    </row>
    <row r="153" spans="1:23" ht="30" customHeight="1" x14ac:dyDescent="0.25">
      <c r="A153" s="8">
        <f>_xlfn.XLOOKUP(152,OfficialTeamList[Row],OfficialTeamList[Team Number],"ERROR",0)</f>
        <v>0</v>
      </c>
      <c r="B153" s="20" t="str">
        <f>_xlfn.XLOOKUP(CoreValuesResults[[#This Row],[Team Number]],OfficialTeamList[Team Number],OfficialTeamList[Team Name],"",0,)</f>
        <v/>
      </c>
      <c r="C153" s="66">
        <f>_xlfn.XLOOKUP(CoreValuesResults[[#This Row],[Team Number]],InnovationProjectResults[Team Number],InnovationProjectResults[Explore 2 (CV)])</f>
        <v>0</v>
      </c>
      <c r="D153" s="66">
        <f>_xlfn.XLOOKUP(CoreValuesResults[[#This Row],[Team Number]],InnovationProjectResults[Team Number],InnovationProjectResults[Ideate 3 (CV)])</f>
        <v>0</v>
      </c>
      <c r="E153" s="66">
        <f>_xlfn.XLOOKUP(CoreValuesResults[[#This Row],[Team Number]],InnovationProjectResults[Team Number],InnovationProjectResults[Implement 1 (CV)])</f>
        <v>0</v>
      </c>
      <c r="F153" s="66">
        <f>_xlfn.XLOOKUP(CoreValuesResults[[#This Row],[Team Number]],InnovationProjectResults[Team Number],InnovationProjectResults[Communicate 2 (CV)])</f>
        <v>0</v>
      </c>
      <c r="G153" s="66">
        <f>_xlfn.XLOOKUP(CoreValuesResults[[#This Row],[Team Number]],RobotDesignResults[Team Number],RobotDesignResults[Identify 2 (CV)])</f>
        <v>0</v>
      </c>
      <c r="H153" s="66">
        <f>_xlfn.XLOOKUP(CoreValuesResults[[#This Row],[Team Number]],RobotDesignResults[Team Number],RobotDesignResults[Iterate 3 (CV)])</f>
        <v>0</v>
      </c>
      <c r="I153" s="66">
        <f>_xlfn.XLOOKUP(CoreValuesResults[[#This Row],[Team Number]],RobotDesignResults[Team Number],RobotDesignResults[Communicate 1 (CV)])</f>
        <v>0</v>
      </c>
      <c r="J153" s="66">
        <f>_xlfn.XLOOKUP(CoreValuesResults[[#This Row],[Team Number]],RobotDesignResults[Team Number],RobotDesignResults[Communicate 2 (CV)])</f>
        <v>0</v>
      </c>
      <c r="K153" s="12"/>
      <c r="L153" s="12"/>
      <c r="M153" s="12"/>
      <c r="N153" s="12"/>
      <c r="O153" s="12"/>
      <c r="P153" s="12"/>
      <c r="Q153" s="8"/>
      <c r="R153" s="8"/>
      <c r="S153" s="8"/>
      <c r="T153" s="36">
        <f>SUM(CoreValuesResults[[#This Row],[Project CV 1 - EXPLORE]:[Engineering CV 4 - COMMUNINCATE]],CoreValuesResults[[#This Row],[Gracious Professionalism Score]])</f>
        <v>0</v>
      </c>
      <c r="U153" s="21">
        <f>IF(CoreValuesResults[[#This Row],[Team Number]]&gt;0,MIN(_xlfn.RANK.EQ(CoreValuesResults[[#This Row],[Core Values Score]],CoreValuesResults[Core Values Score],0),NumberOfTeams),NumberOfTeams+1)</f>
        <v>9</v>
      </c>
      <c r="V153" s="35"/>
      <c r="W153" s="35"/>
    </row>
    <row r="154" spans="1:23" ht="30" customHeight="1" x14ac:dyDescent="0.25">
      <c r="A154" s="8">
        <f>_xlfn.XLOOKUP(153,OfficialTeamList[Row],OfficialTeamList[Team Number],"ERROR",0)</f>
        <v>0</v>
      </c>
      <c r="B154" s="20" t="str">
        <f>_xlfn.XLOOKUP(CoreValuesResults[[#This Row],[Team Number]],OfficialTeamList[Team Number],OfficialTeamList[Team Name],"",0,)</f>
        <v/>
      </c>
      <c r="C154" s="66">
        <f>_xlfn.XLOOKUP(CoreValuesResults[[#This Row],[Team Number]],InnovationProjectResults[Team Number],InnovationProjectResults[Explore 2 (CV)])</f>
        <v>0</v>
      </c>
      <c r="D154" s="66">
        <f>_xlfn.XLOOKUP(CoreValuesResults[[#This Row],[Team Number]],InnovationProjectResults[Team Number],InnovationProjectResults[Ideate 3 (CV)])</f>
        <v>0</v>
      </c>
      <c r="E154" s="66">
        <f>_xlfn.XLOOKUP(CoreValuesResults[[#This Row],[Team Number]],InnovationProjectResults[Team Number],InnovationProjectResults[Implement 1 (CV)])</f>
        <v>0</v>
      </c>
      <c r="F154" s="66">
        <f>_xlfn.XLOOKUP(CoreValuesResults[[#This Row],[Team Number]],InnovationProjectResults[Team Number],InnovationProjectResults[Communicate 2 (CV)])</f>
        <v>0</v>
      </c>
      <c r="G154" s="66">
        <f>_xlfn.XLOOKUP(CoreValuesResults[[#This Row],[Team Number]],RobotDesignResults[Team Number],RobotDesignResults[Identify 2 (CV)])</f>
        <v>0</v>
      </c>
      <c r="H154" s="66">
        <f>_xlfn.XLOOKUP(CoreValuesResults[[#This Row],[Team Number]],RobotDesignResults[Team Number],RobotDesignResults[Iterate 3 (CV)])</f>
        <v>0</v>
      </c>
      <c r="I154" s="66">
        <f>_xlfn.XLOOKUP(CoreValuesResults[[#This Row],[Team Number]],RobotDesignResults[Team Number],RobotDesignResults[Communicate 1 (CV)])</f>
        <v>0</v>
      </c>
      <c r="J154" s="66">
        <f>_xlfn.XLOOKUP(CoreValuesResults[[#This Row],[Team Number]],RobotDesignResults[Team Number],RobotDesignResults[Communicate 2 (CV)])</f>
        <v>0</v>
      </c>
      <c r="K154" s="12"/>
      <c r="L154" s="12"/>
      <c r="M154" s="12"/>
      <c r="N154" s="12"/>
      <c r="O154" s="12"/>
      <c r="P154" s="12"/>
      <c r="Q154" s="8"/>
      <c r="R154" s="8"/>
      <c r="S154" s="8"/>
      <c r="T154" s="36">
        <f>SUM(CoreValuesResults[[#This Row],[Project CV 1 - EXPLORE]:[Engineering CV 4 - COMMUNINCATE]],CoreValuesResults[[#This Row],[Gracious Professionalism Score]])</f>
        <v>0</v>
      </c>
      <c r="U154" s="21">
        <f>IF(CoreValuesResults[[#This Row],[Team Number]]&gt;0,MIN(_xlfn.RANK.EQ(CoreValuesResults[[#This Row],[Core Values Score]],CoreValuesResults[Core Values Score],0),NumberOfTeams),NumberOfTeams+1)</f>
        <v>9</v>
      </c>
      <c r="V154" s="35"/>
      <c r="W154" s="35"/>
    </row>
    <row r="155" spans="1:23" ht="30" customHeight="1" x14ac:dyDescent="0.25">
      <c r="A155" s="8">
        <f>_xlfn.XLOOKUP(154,OfficialTeamList[Row],OfficialTeamList[Team Number],"ERROR",0)</f>
        <v>0</v>
      </c>
      <c r="B155" s="20" t="str">
        <f>_xlfn.XLOOKUP(CoreValuesResults[[#This Row],[Team Number]],OfficialTeamList[Team Number],OfficialTeamList[Team Name],"",0,)</f>
        <v/>
      </c>
      <c r="C155" s="66">
        <f>_xlfn.XLOOKUP(CoreValuesResults[[#This Row],[Team Number]],InnovationProjectResults[Team Number],InnovationProjectResults[Explore 2 (CV)])</f>
        <v>0</v>
      </c>
      <c r="D155" s="66">
        <f>_xlfn.XLOOKUP(CoreValuesResults[[#This Row],[Team Number]],InnovationProjectResults[Team Number],InnovationProjectResults[Ideate 3 (CV)])</f>
        <v>0</v>
      </c>
      <c r="E155" s="66">
        <f>_xlfn.XLOOKUP(CoreValuesResults[[#This Row],[Team Number]],InnovationProjectResults[Team Number],InnovationProjectResults[Implement 1 (CV)])</f>
        <v>0</v>
      </c>
      <c r="F155" s="66">
        <f>_xlfn.XLOOKUP(CoreValuesResults[[#This Row],[Team Number]],InnovationProjectResults[Team Number],InnovationProjectResults[Communicate 2 (CV)])</f>
        <v>0</v>
      </c>
      <c r="G155" s="66">
        <f>_xlfn.XLOOKUP(CoreValuesResults[[#This Row],[Team Number]],RobotDesignResults[Team Number],RobotDesignResults[Identify 2 (CV)])</f>
        <v>0</v>
      </c>
      <c r="H155" s="66">
        <f>_xlfn.XLOOKUP(CoreValuesResults[[#This Row],[Team Number]],RobotDesignResults[Team Number],RobotDesignResults[Iterate 3 (CV)])</f>
        <v>0</v>
      </c>
      <c r="I155" s="66">
        <f>_xlfn.XLOOKUP(CoreValuesResults[[#This Row],[Team Number]],RobotDesignResults[Team Number],RobotDesignResults[Communicate 1 (CV)])</f>
        <v>0</v>
      </c>
      <c r="J155" s="66">
        <f>_xlfn.XLOOKUP(CoreValuesResults[[#This Row],[Team Number]],RobotDesignResults[Team Number],RobotDesignResults[Communicate 2 (CV)])</f>
        <v>0</v>
      </c>
      <c r="K155" s="12"/>
      <c r="L155" s="12"/>
      <c r="M155" s="12"/>
      <c r="N155" s="12"/>
      <c r="O155" s="12"/>
      <c r="P155" s="12"/>
      <c r="Q155" s="8"/>
      <c r="R155" s="8"/>
      <c r="S155" s="8"/>
      <c r="T155" s="36">
        <f>SUM(CoreValuesResults[[#This Row],[Project CV 1 - EXPLORE]:[Engineering CV 4 - COMMUNINCATE]],CoreValuesResults[[#This Row],[Gracious Professionalism Score]])</f>
        <v>0</v>
      </c>
      <c r="U155" s="21">
        <f>IF(CoreValuesResults[[#This Row],[Team Number]]&gt;0,MIN(_xlfn.RANK.EQ(CoreValuesResults[[#This Row],[Core Values Score]],CoreValuesResults[Core Values Score],0),NumberOfTeams),NumberOfTeams+1)</f>
        <v>9</v>
      </c>
      <c r="V155" s="35"/>
      <c r="W155" s="35"/>
    </row>
    <row r="156" spans="1:23" ht="30" customHeight="1" x14ac:dyDescent="0.25">
      <c r="A156" s="8">
        <f>_xlfn.XLOOKUP(155,OfficialTeamList[Row],OfficialTeamList[Team Number],"ERROR",0)</f>
        <v>0</v>
      </c>
      <c r="B156" s="20" t="str">
        <f>_xlfn.XLOOKUP(CoreValuesResults[[#This Row],[Team Number]],OfficialTeamList[Team Number],OfficialTeamList[Team Name],"",0,)</f>
        <v/>
      </c>
      <c r="C156" s="66">
        <f>_xlfn.XLOOKUP(CoreValuesResults[[#This Row],[Team Number]],InnovationProjectResults[Team Number],InnovationProjectResults[Explore 2 (CV)])</f>
        <v>0</v>
      </c>
      <c r="D156" s="66">
        <f>_xlfn.XLOOKUP(CoreValuesResults[[#This Row],[Team Number]],InnovationProjectResults[Team Number],InnovationProjectResults[Ideate 3 (CV)])</f>
        <v>0</v>
      </c>
      <c r="E156" s="66">
        <f>_xlfn.XLOOKUP(CoreValuesResults[[#This Row],[Team Number]],InnovationProjectResults[Team Number],InnovationProjectResults[Implement 1 (CV)])</f>
        <v>0</v>
      </c>
      <c r="F156" s="66">
        <f>_xlfn.XLOOKUP(CoreValuesResults[[#This Row],[Team Number]],InnovationProjectResults[Team Number],InnovationProjectResults[Communicate 2 (CV)])</f>
        <v>0</v>
      </c>
      <c r="G156" s="66">
        <f>_xlfn.XLOOKUP(CoreValuesResults[[#This Row],[Team Number]],RobotDesignResults[Team Number],RobotDesignResults[Identify 2 (CV)])</f>
        <v>0</v>
      </c>
      <c r="H156" s="66">
        <f>_xlfn.XLOOKUP(CoreValuesResults[[#This Row],[Team Number]],RobotDesignResults[Team Number],RobotDesignResults[Iterate 3 (CV)])</f>
        <v>0</v>
      </c>
      <c r="I156" s="66">
        <f>_xlfn.XLOOKUP(CoreValuesResults[[#This Row],[Team Number]],RobotDesignResults[Team Number],RobotDesignResults[Communicate 1 (CV)])</f>
        <v>0</v>
      </c>
      <c r="J156" s="66">
        <f>_xlfn.XLOOKUP(CoreValuesResults[[#This Row],[Team Number]],RobotDesignResults[Team Number],RobotDesignResults[Communicate 2 (CV)])</f>
        <v>0</v>
      </c>
      <c r="K156" s="12"/>
      <c r="L156" s="12"/>
      <c r="M156" s="12"/>
      <c r="N156" s="12"/>
      <c r="O156" s="12"/>
      <c r="P156" s="12"/>
      <c r="Q156" s="8"/>
      <c r="R156" s="8"/>
      <c r="S156" s="8"/>
      <c r="T156" s="36">
        <f>SUM(CoreValuesResults[[#This Row],[Project CV 1 - EXPLORE]:[Engineering CV 4 - COMMUNINCATE]],CoreValuesResults[[#This Row],[Gracious Professionalism Score]])</f>
        <v>0</v>
      </c>
      <c r="U156" s="21">
        <f>IF(CoreValuesResults[[#This Row],[Team Number]]&gt;0,MIN(_xlfn.RANK.EQ(CoreValuesResults[[#This Row],[Core Values Score]],CoreValuesResults[Core Values Score],0),NumberOfTeams),NumberOfTeams+1)</f>
        <v>9</v>
      </c>
      <c r="V156" s="35"/>
      <c r="W156" s="35"/>
    </row>
    <row r="157" spans="1:23" ht="30" customHeight="1" x14ac:dyDescent="0.25">
      <c r="A157" s="8">
        <f>_xlfn.XLOOKUP(156,OfficialTeamList[Row],OfficialTeamList[Team Number],"ERROR",0)</f>
        <v>0</v>
      </c>
      <c r="B157" s="20" t="str">
        <f>_xlfn.XLOOKUP(CoreValuesResults[[#This Row],[Team Number]],OfficialTeamList[Team Number],OfficialTeamList[Team Name],"",0,)</f>
        <v/>
      </c>
      <c r="C157" s="66">
        <f>_xlfn.XLOOKUP(CoreValuesResults[[#This Row],[Team Number]],InnovationProjectResults[Team Number],InnovationProjectResults[Explore 2 (CV)])</f>
        <v>0</v>
      </c>
      <c r="D157" s="66">
        <f>_xlfn.XLOOKUP(CoreValuesResults[[#This Row],[Team Number]],InnovationProjectResults[Team Number],InnovationProjectResults[Ideate 3 (CV)])</f>
        <v>0</v>
      </c>
      <c r="E157" s="66">
        <f>_xlfn.XLOOKUP(CoreValuesResults[[#This Row],[Team Number]],InnovationProjectResults[Team Number],InnovationProjectResults[Implement 1 (CV)])</f>
        <v>0</v>
      </c>
      <c r="F157" s="66">
        <f>_xlfn.XLOOKUP(CoreValuesResults[[#This Row],[Team Number]],InnovationProjectResults[Team Number],InnovationProjectResults[Communicate 2 (CV)])</f>
        <v>0</v>
      </c>
      <c r="G157" s="66">
        <f>_xlfn.XLOOKUP(CoreValuesResults[[#This Row],[Team Number]],RobotDesignResults[Team Number],RobotDesignResults[Identify 2 (CV)])</f>
        <v>0</v>
      </c>
      <c r="H157" s="66">
        <f>_xlfn.XLOOKUP(CoreValuesResults[[#This Row],[Team Number]],RobotDesignResults[Team Number],RobotDesignResults[Iterate 3 (CV)])</f>
        <v>0</v>
      </c>
      <c r="I157" s="66">
        <f>_xlfn.XLOOKUP(CoreValuesResults[[#This Row],[Team Number]],RobotDesignResults[Team Number],RobotDesignResults[Communicate 1 (CV)])</f>
        <v>0</v>
      </c>
      <c r="J157" s="66">
        <f>_xlfn.XLOOKUP(CoreValuesResults[[#This Row],[Team Number]],RobotDesignResults[Team Number],RobotDesignResults[Communicate 2 (CV)])</f>
        <v>0</v>
      </c>
      <c r="K157" s="12"/>
      <c r="L157" s="12"/>
      <c r="M157" s="12"/>
      <c r="N157" s="12"/>
      <c r="O157" s="12"/>
      <c r="P157" s="12"/>
      <c r="Q157" s="8"/>
      <c r="R157" s="8"/>
      <c r="S157" s="8"/>
      <c r="T157" s="36">
        <f>SUM(CoreValuesResults[[#This Row],[Project CV 1 - EXPLORE]:[Engineering CV 4 - COMMUNINCATE]],CoreValuesResults[[#This Row],[Gracious Professionalism Score]])</f>
        <v>0</v>
      </c>
      <c r="U157" s="21">
        <f>IF(CoreValuesResults[[#This Row],[Team Number]]&gt;0,MIN(_xlfn.RANK.EQ(CoreValuesResults[[#This Row],[Core Values Score]],CoreValuesResults[Core Values Score],0),NumberOfTeams),NumberOfTeams+1)</f>
        <v>9</v>
      </c>
      <c r="V157" s="35"/>
      <c r="W157" s="35"/>
    </row>
    <row r="158" spans="1:23" ht="30" customHeight="1" x14ac:dyDescent="0.25">
      <c r="A158" s="8">
        <f>_xlfn.XLOOKUP(157,OfficialTeamList[Row],OfficialTeamList[Team Number],"ERROR",0)</f>
        <v>0</v>
      </c>
      <c r="B158" s="20" t="str">
        <f>_xlfn.XLOOKUP(CoreValuesResults[[#This Row],[Team Number]],OfficialTeamList[Team Number],OfficialTeamList[Team Name],"",0,)</f>
        <v/>
      </c>
      <c r="C158" s="66">
        <f>_xlfn.XLOOKUP(CoreValuesResults[[#This Row],[Team Number]],InnovationProjectResults[Team Number],InnovationProjectResults[Explore 2 (CV)])</f>
        <v>0</v>
      </c>
      <c r="D158" s="66">
        <f>_xlfn.XLOOKUP(CoreValuesResults[[#This Row],[Team Number]],InnovationProjectResults[Team Number],InnovationProjectResults[Ideate 3 (CV)])</f>
        <v>0</v>
      </c>
      <c r="E158" s="66">
        <f>_xlfn.XLOOKUP(CoreValuesResults[[#This Row],[Team Number]],InnovationProjectResults[Team Number],InnovationProjectResults[Implement 1 (CV)])</f>
        <v>0</v>
      </c>
      <c r="F158" s="66">
        <f>_xlfn.XLOOKUP(CoreValuesResults[[#This Row],[Team Number]],InnovationProjectResults[Team Number],InnovationProjectResults[Communicate 2 (CV)])</f>
        <v>0</v>
      </c>
      <c r="G158" s="66">
        <f>_xlfn.XLOOKUP(CoreValuesResults[[#This Row],[Team Number]],RobotDesignResults[Team Number],RobotDesignResults[Identify 2 (CV)])</f>
        <v>0</v>
      </c>
      <c r="H158" s="66">
        <f>_xlfn.XLOOKUP(CoreValuesResults[[#This Row],[Team Number]],RobotDesignResults[Team Number],RobotDesignResults[Iterate 3 (CV)])</f>
        <v>0</v>
      </c>
      <c r="I158" s="66">
        <f>_xlfn.XLOOKUP(CoreValuesResults[[#This Row],[Team Number]],RobotDesignResults[Team Number],RobotDesignResults[Communicate 1 (CV)])</f>
        <v>0</v>
      </c>
      <c r="J158" s="66">
        <f>_xlfn.XLOOKUP(CoreValuesResults[[#This Row],[Team Number]],RobotDesignResults[Team Number],RobotDesignResults[Communicate 2 (CV)])</f>
        <v>0</v>
      </c>
      <c r="K158" s="12"/>
      <c r="L158" s="12"/>
      <c r="M158" s="12"/>
      <c r="N158" s="12"/>
      <c r="O158" s="12"/>
      <c r="P158" s="12"/>
      <c r="Q158" s="8"/>
      <c r="R158" s="8"/>
      <c r="S158" s="8"/>
      <c r="T158" s="36">
        <f>SUM(CoreValuesResults[[#This Row],[Project CV 1 - EXPLORE]:[Engineering CV 4 - COMMUNINCATE]],CoreValuesResults[[#This Row],[Gracious Professionalism Score]])</f>
        <v>0</v>
      </c>
      <c r="U158" s="21">
        <f>IF(CoreValuesResults[[#This Row],[Team Number]]&gt;0,MIN(_xlfn.RANK.EQ(CoreValuesResults[[#This Row],[Core Values Score]],CoreValuesResults[Core Values Score],0),NumberOfTeams),NumberOfTeams+1)</f>
        <v>9</v>
      </c>
      <c r="V158" s="35"/>
      <c r="W158" s="35"/>
    </row>
    <row r="159" spans="1:23" ht="30" customHeight="1" x14ac:dyDescent="0.25">
      <c r="A159" s="8">
        <f>_xlfn.XLOOKUP(158,OfficialTeamList[Row],OfficialTeamList[Team Number],"ERROR",0)</f>
        <v>0</v>
      </c>
      <c r="B159" s="20" t="str">
        <f>_xlfn.XLOOKUP(CoreValuesResults[[#This Row],[Team Number]],OfficialTeamList[Team Number],OfficialTeamList[Team Name],"",0,)</f>
        <v/>
      </c>
      <c r="C159" s="66">
        <f>_xlfn.XLOOKUP(CoreValuesResults[[#This Row],[Team Number]],InnovationProjectResults[Team Number],InnovationProjectResults[Explore 2 (CV)])</f>
        <v>0</v>
      </c>
      <c r="D159" s="66">
        <f>_xlfn.XLOOKUP(CoreValuesResults[[#This Row],[Team Number]],InnovationProjectResults[Team Number],InnovationProjectResults[Ideate 3 (CV)])</f>
        <v>0</v>
      </c>
      <c r="E159" s="66">
        <f>_xlfn.XLOOKUP(CoreValuesResults[[#This Row],[Team Number]],InnovationProjectResults[Team Number],InnovationProjectResults[Implement 1 (CV)])</f>
        <v>0</v>
      </c>
      <c r="F159" s="66">
        <f>_xlfn.XLOOKUP(CoreValuesResults[[#This Row],[Team Number]],InnovationProjectResults[Team Number],InnovationProjectResults[Communicate 2 (CV)])</f>
        <v>0</v>
      </c>
      <c r="G159" s="66">
        <f>_xlfn.XLOOKUP(CoreValuesResults[[#This Row],[Team Number]],RobotDesignResults[Team Number],RobotDesignResults[Identify 2 (CV)])</f>
        <v>0</v>
      </c>
      <c r="H159" s="66">
        <f>_xlfn.XLOOKUP(CoreValuesResults[[#This Row],[Team Number]],RobotDesignResults[Team Number],RobotDesignResults[Iterate 3 (CV)])</f>
        <v>0</v>
      </c>
      <c r="I159" s="66">
        <f>_xlfn.XLOOKUP(CoreValuesResults[[#This Row],[Team Number]],RobotDesignResults[Team Number],RobotDesignResults[Communicate 1 (CV)])</f>
        <v>0</v>
      </c>
      <c r="J159" s="66">
        <f>_xlfn.XLOOKUP(CoreValuesResults[[#This Row],[Team Number]],RobotDesignResults[Team Number],RobotDesignResults[Communicate 2 (CV)])</f>
        <v>0</v>
      </c>
      <c r="K159" s="12"/>
      <c r="L159" s="12"/>
      <c r="M159" s="12"/>
      <c r="N159" s="12"/>
      <c r="O159" s="12"/>
      <c r="P159" s="12"/>
      <c r="Q159" s="8"/>
      <c r="R159" s="8"/>
      <c r="S159" s="8"/>
      <c r="T159" s="36">
        <f>SUM(CoreValuesResults[[#This Row],[Project CV 1 - EXPLORE]:[Engineering CV 4 - COMMUNINCATE]],CoreValuesResults[[#This Row],[Gracious Professionalism Score]])</f>
        <v>0</v>
      </c>
      <c r="U159" s="21">
        <f>IF(CoreValuesResults[[#This Row],[Team Number]]&gt;0,MIN(_xlfn.RANK.EQ(CoreValuesResults[[#This Row],[Core Values Score]],CoreValuesResults[Core Values Score],0),NumberOfTeams),NumberOfTeams+1)</f>
        <v>9</v>
      </c>
      <c r="V159" s="35"/>
      <c r="W159" s="35"/>
    </row>
    <row r="160" spans="1:23" ht="30" customHeight="1" x14ac:dyDescent="0.25">
      <c r="A160" s="8">
        <f>_xlfn.XLOOKUP(159,OfficialTeamList[Row],OfficialTeamList[Team Number],"ERROR",0)</f>
        <v>0</v>
      </c>
      <c r="B160" s="20" t="str">
        <f>_xlfn.XLOOKUP(CoreValuesResults[[#This Row],[Team Number]],OfficialTeamList[Team Number],OfficialTeamList[Team Name],"",0,)</f>
        <v/>
      </c>
      <c r="C160" s="66">
        <f>_xlfn.XLOOKUP(CoreValuesResults[[#This Row],[Team Number]],InnovationProjectResults[Team Number],InnovationProjectResults[Explore 2 (CV)])</f>
        <v>0</v>
      </c>
      <c r="D160" s="66">
        <f>_xlfn.XLOOKUP(CoreValuesResults[[#This Row],[Team Number]],InnovationProjectResults[Team Number],InnovationProjectResults[Ideate 3 (CV)])</f>
        <v>0</v>
      </c>
      <c r="E160" s="66">
        <f>_xlfn.XLOOKUP(CoreValuesResults[[#This Row],[Team Number]],InnovationProjectResults[Team Number],InnovationProjectResults[Implement 1 (CV)])</f>
        <v>0</v>
      </c>
      <c r="F160" s="66">
        <f>_xlfn.XLOOKUP(CoreValuesResults[[#This Row],[Team Number]],InnovationProjectResults[Team Number],InnovationProjectResults[Communicate 2 (CV)])</f>
        <v>0</v>
      </c>
      <c r="G160" s="66">
        <f>_xlfn.XLOOKUP(CoreValuesResults[[#This Row],[Team Number]],RobotDesignResults[Team Number],RobotDesignResults[Identify 2 (CV)])</f>
        <v>0</v>
      </c>
      <c r="H160" s="66">
        <f>_xlfn.XLOOKUP(CoreValuesResults[[#This Row],[Team Number]],RobotDesignResults[Team Number],RobotDesignResults[Iterate 3 (CV)])</f>
        <v>0</v>
      </c>
      <c r="I160" s="66">
        <f>_xlfn.XLOOKUP(CoreValuesResults[[#This Row],[Team Number]],RobotDesignResults[Team Number],RobotDesignResults[Communicate 1 (CV)])</f>
        <v>0</v>
      </c>
      <c r="J160" s="66">
        <f>_xlfn.XLOOKUP(CoreValuesResults[[#This Row],[Team Number]],RobotDesignResults[Team Number],RobotDesignResults[Communicate 2 (CV)])</f>
        <v>0</v>
      </c>
      <c r="K160" s="12"/>
      <c r="L160" s="12"/>
      <c r="M160" s="12"/>
      <c r="N160" s="12"/>
      <c r="O160" s="12"/>
      <c r="P160" s="12"/>
      <c r="Q160" s="8"/>
      <c r="R160" s="8"/>
      <c r="S160" s="8"/>
      <c r="T160" s="36">
        <f>SUM(CoreValuesResults[[#This Row],[Project CV 1 - EXPLORE]:[Engineering CV 4 - COMMUNINCATE]],CoreValuesResults[[#This Row],[Gracious Professionalism Score]])</f>
        <v>0</v>
      </c>
      <c r="U160" s="21">
        <f>IF(CoreValuesResults[[#This Row],[Team Number]]&gt;0,MIN(_xlfn.RANK.EQ(CoreValuesResults[[#This Row],[Core Values Score]],CoreValuesResults[Core Values Score],0),NumberOfTeams),NumberOfTeams+1)</f>
        <v>9</v>
      </c>
      <c r="V160" s="35"/>
      <c r="W160" s="35"/>
    </row>
    <row r="161" spans="1:23" ht="30" customHeight="1" x14ac:dyDescent="0.25">
      <c r="A161" s="8">
        <f>_xlfn.XLOOKUP(160,OfficialTeamList[Row],OfficialTeamList[Team Number],"ERROR",0)</f>
        <v>0</v>
      </c>
      <c r="B161" s="20" t="str">
        <f>_xlfn.XLOOKUP(CoreValuesResults[[#This Row],[Team Number]],OfficialTeamList[Team Number],OfficialTeamList[Team Name],"",0,)</f>
        <v/>
      </c>
      <c r="C161" s="66">
        <f>_xlfn.XLOOKUP(CoreValuesResults[[#This Row],[Team Number]],InnovationProjectResults[Team Number],InnovationProjectResults[Explore 2 (CV)])</f>
        <v>0</v>
      </c>
      <c r="D161" s="66">
        <f>_xlfn.XLOOKUP(CoreValuesResults[[#This Row],[Team Number]],InnovationProjectResults[Team Number],InnovationProjectResults[Ideate 3 (CV)])</f>
        <v>0</v>
      </c>
      <c r="E161" s="66">
        <f>_xlfn.XLOOKUP(CoreValuesResults[[#This Row],[Team Number]],InnovationProjectResults[Team Number],InnovationProjectResults[Implement 1 (CV)])</f>
        <v>0</v>
      </c>
      <c r="F161" s="66">
        <f>_xlfn.XLOOKUP(CoreValuesResults[[#This Row],[Team Number]],InnovationProjectResults[Team Number],InnovationProjectResults[Communicate 2 (CV)])</f>
        <v>0</v>
      </c>
      <c r="G161" s="66">
        <f>_xlfn.XLOOKUP(CoreValuesResults[[#This Row],[Team Number]],RobotDesignResults[Team Number],RobotDesignResults[Identify 2 (CV)])</f>
        <v>0</v>
      </c>
      <c r="H161" s="66">
        <f>_xlfn.XLOOKUP(CoreValuesResults[[#This Row],[Team Number]],RobotDesignResults[Team Number],RobotDesignResults[Iterate 3 (CV)])</f>
        <v>0</v>
      </c>
      <c r="I161" s="66">
        <f>_xlfn.XLOOKUP(CoreValuesResults[[#This Row],[Team Number]],RobotDesignResults[Team Number],RobotDesignResults[Communicate 1 (CV)])</f>
        <v>0</v>
      </c>
      <c r="J161" s="66">
        <f>_xlfn.XLOOKUP(CoreValuesResults[[#This Row],[Team Number]],RobotDesignResults[Team Number],RobotDesignResults[Communicate 2 (CV)])</f>
        <v>0</v>
      </c>
      <c r="K161" s="12"/>
      <c r="L161" s="12"/>
      <c r="M161" s="12"/>
      <c r="N161" s="12"/>
      <c r="O161" s="12"/>
      <c r="P161" s="12"/>
      <c r="Q161" s="8"/>
      <c r="R161" s="8"/>
      <c r="S161" s="8"/>
      <c r="T161" s="36">
        <f>SUM(CoreValuesResults[[#This Row],[Project CV 1 - EXPLORE]:[Engineering CV 4 - COMMUNINCATE]],CoreValuesResults[[#This Row],[Gracious Professionalism Score]])</f>
        <v>0</v>
      </c>
      <c r="U161" s="21">
        <f>IF(CoreValuesResults[[#This Row],[Team Number]]&gt;0,MIN(_xlfn.RANK.EQ(CoreValuesResults[[#This Row],[Core Values Score]],CoreValuesResults[Core Values Score],0),NumberOfTeams),NumberOfTeams+1)</f>
        <v>9</v>
      </c>
      <c r="V161" s="35"/>
      <c r="W161" s="35"/>
    </row>
    <row r="162" spans="1:23" ht="30" customHeight="1" x14ac:dyDescent="0.25">
      <c r="A162" s="8">
        <f>_xlfn.XLOOKUP(161,OfficialTeamList[Row],OfficialTeamList[Team Number],"ERROR",0)</f>
        <v>0</v>
      </c>
      <c r="B162" s="20" t="str">
        <f>_xlfn.XLOOKUP(CoreValuesResults[[#This Row],[Team Number]],OfficialTeamList[Team Number],OfficialTeamList[Team Name],"",0,)</f>
        <v/>
      </c>
      <c r="C162" s="66">
        <f>_xlfn.XLOOKUP(CoreValuesResults[[#This Row],[Team Number]],InnovationProjectResults[Team Number],InnovationProjectResults[Explore 2 (CV)])</f>
        <v>0</v>
      </c>
      <c r="D162" s="66">
        <f>_xlfn.XLOOKUP(CoreValuesResults[[#This Row],[Team Number]],InnovationProjectResults[Team Number],InnovationProjectResults[Ideate 3 (CV)])</f>
        <v>0</v>
      </c>
      <c r="E162" s="66">
        <f>_xlfn.XLOOKUP(CoreValuesResults[[#This Row],[Team Number]],InnovationProjectResults[Team Number],InnovationProjectResults[Implement 1 (CV)])</f>
        <v>0</v>
      </c>
      <c r="F162" s="66">
        <f>_xlfn.XLOOKUP(CoreValuesResults[[#This Row],[Team Number]],InnovationProjectResults[Team Number],InnovationProjectResults[Communicate 2 (CV)])</f>
        <v>0</v>
      </c>
      <c r="G162" s="66">
        <f>_xlfn.XLOOKUP(CoreValuesResults[[#This Row],[Team Number]],RobotDesignResults[Team Number],RobotDesignResults[Identify 2 (CV)])</f>
        <v>0</v>
      </c>
      <c r="H162" s="66">
        <f>_xlfn.XLOOKUP(CoreValuesResults[[#This Row],[Team Number]],RobotDesignResults[Team Number],RobotDesignResults[Iterate 3 (CV)])</f>
        <v>0</v>
      </c>
      <c r="I162" s="66">
        <f>_xlfn.XLOOKUP(CoreValuesResults[[#This Row],[Team Number]],RobotDesignResults[Team Number],RobotDesignResults[Communicate 1 (CV)])</f>
        <v>0</v>
      </c>
      <c r="J162" s="66">
        <f>_xlfn.XLOOKUP(CoreValuesResults[[#This Row],[Team Number]],RobotDesignResults[Team Number],RobotDesignResults[Communicate 2 (CV)])</f>
        <v>0</v>
      </c>
      <c r="K162" s="12"/>
      <c r="L162" s="12"/>
      <c r="M162" s="12"/>
      <c r="N162" s="12"/>
      <c r="O162" s="12"/>
      <c r="P162" s="12"/>
      <c r="Q162" s="8" t="str">
        <f>IF(CoreValuesResults[[#This Row],[Gracious Professionalism 1]]="","",COUNTIF(CoreValuesResults[[#This Row],[Gracious Professionalism 1]:[Gracious Professionalism 5]],""))</f>
        <v/>
      </c>
      <c r="R162" s="8" t="str">
        <f>IF(CoreValuesResults[[#This Row],[Gracious Professionalism 1]]="","",SUM(CoreValuesResults[[#This Row],[Gracious Professionalism 1]:[Gracious Professionalism 5]]))</f>
        <v/>
      </c>
      <c r="S162"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62" s="36">
        <f>SUM(CoreValuesResults[[#This Row],[Project CV 1 - EXPLORE]:[Engineering CV 4 - COMMUNINCATE]],CoreValuesResults[[#This Row],[Gracious Professionalism Score]])</f>
        <v>0</v>
      </c>
      <c r="U162" s="21">
        <f>IF(CoreValuesResults[[#This Row],[Team Number]]&gt;0,MIN(_xlfn.RANK.EQ(CoreValuesResults[[#This Row],[Core Values Score]],CoreValuesResults[Core Values Score],0),NumberOfTeams),NumberOfTeams+1)</f>
        <v>9</v>
      </c>
      <c r="V162" s="35"/>
      <c r="W162" s="35"/>
    </row>
    <row r="163" spans="1:23" ht="30" customHeight="1" x14ac:dyDescent="0.25">
      <c r="A163" s="8">
        <f>_xlfn.XLOOKUP(162,OfficialTeamList[Row],OfficialTeamList[Team Number],"ERROR",0)</f>
        <v>0</v>
      </c>
      <c r="B163" s="20" t="str">
        <f>_xlfn.XLOOKUP(CoreValuesResults[[#This Row],[Team Number]],OfficialTeamList[Team Number],OfficialTeamList[Team Name],"",0,)</f>
        <v/>
      </c>
      <c r="C163" s="66">
        <f>_xlfn.XLOOKUP(CoreValuesResults[[#This Row],[Team Number]],InnovationProjectResults[Team Number],InnovationProjectResults[Explore 2 (CV)])</f>
        <v>0</v>
      </c>
      <c r="D163" s="66">
        <f>_xlfn.XLOOKUP(CoreValuesResults[[#This Row],[Team Number]],InnovationProjectResults[Team Number],InnovationProjectResults[Ideate 3 (CV)])</f>
        <v>0</v>
      </c>
      <c r="E163" s="66">
        <f>_xlfn.XLOOKUP(CoreValuesResults[[#This Row],[Team Number]],InnovationProjectResults[Team Number],InnovationProjectResults[Implement 1 (CV)])</f>
        <v>0</v>
      </c>
      <c r="F163" s="66">
        <f>_xlfn.XLOOKUP(CoreValuesResults[[#This Row],[Team Number]],InnovationProjectResults[Team Number],InnovationProjectResults[Communicate 2 (CV)])</f>
        <v>0</v>
      </c>
      <c r="G163" s="66">
        <f>_xlfn.XLOOKUP(CoreValuesResults[[#This Row],[Team Number]],RobotDesignResults[Team Number],RobotDesignResults[Identify 2 (CV)])</f>
        <v>0</v>
      </c>
      <c r="H163" s="66">
        <f>_xlfn.XLOOKUP(CoreValuesResults[[#This Row],[Team Number]],RobotDesignResults[Team Number],RobotDesignResults[Iterate 3 (CV)])</f>
        <v>0</v>
      </c>
      <c r="I163" s="66">
        <f>_xlfn.XLOOKUP(CoreValuesResults[[#This Row],[Team Number]],RobotDesignResults[Team Number],RobotDesignResults[Communicate 1 (CV)])</f>
        <v>0</v>
      </c>
      <c r="J163" s="66">
        <f>_xlfn.XLOOKUP(CoreValuesResults[[#This Row],[Team Number]],RobotDesignResults[Team Number],RobotDesignResults[Communicate 2 (CV)])</f>
        <v>0</v>
      </c>
      <c r="K163" s="12"/>
      <c r="L163" s="12"/>
      <c r="M163" s="12"/>
      <c r="N163" s="12"/>
      <c r="O163" s="12"/>
      <c r="P163" s="12"/>
      <c r="Q163" s="8" t="str">
        <f>IF(CoreValuesResults[[#This Row],[Gracious Professionalism 1]]="","",COUNTIF(CoreValuesResults[[#This Row],[Gracious Professionalism 1]:[Gracious Professionalism 5]],""))</f>
        <v/>
      </c>
      <c r="R163" s="8" t="str">
        <f>IF(CoreValuesResults[[#This Row],[Gracious Professionalism 1]]="","",SUM(CoreValuesResults[[#This Row],[Gracious Professionalism 1]:[Gracious Professionalism 5]]))</f>
        <v/>
      </c>
      <c r="S163"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63" s="36">
        <f>SUM(CoreValuesResults[[#This Row],[Project CV 1 - EXPLORE]:[Engineering CV 4 - COMMUNINCATE]],CoreValuesResults[[#This Row],[Gracious Professionalism Score]])</f>
        <v>0</v>
      </c>
      <c r="U163" s="21">
        <f>IF(CoreValuesResults[[#This Row],[Team Number]]&gt;0,MIN(_xlfn.RANK.EQ(CoreValuesResults[[#This Row],[Core Values Score]],CoreValuesResults[Core Values Score],0),NumberOfTeams),NumberOfTeams+1)</f>
        <v>9</v>
      </c>
      <c r="V163" s="35"/>
      <c r="W163" s="35"/>
    </row>
    <row r="164" spans="1:23" ht="30" customHeight="1" x14ac:dyDescent="0.25">
      <c r="A164" s="8">
        <f>_xlfn.XLOOKUP(163,OfficialTeamList[Row],OfficialTeamList[Team Number],"ERROR",0)</f>
        <v>0</v>
      </c>
      <c r="B164" s="20" t="str">
        <f>_xlfn.XLOOKUP(CoreValuesResults[[#This Row],[Team Number]],OfficialTeamList[Team Number],OfficialTeamList[Team Name],"",0,)</f>
        <v/>
      </c>
      <c r="C164" s="66">
        <f>_xlfn.XLOOKUP(CoreValuesResults[[#This Row],[Team Number]],InnovationProjectResults[Team Number],InnovationProjectResults[Explore 2 (CV)])</f>
        <v>0</v>
      </c>
      <c r="D164" s="66">
        <f>_xlfn.XLOOKUP(CoreValuesResults[[#This Row],[Team Number]],InnovationProjectResults[Team Number],InnovationProjectResults[Ideate 3 (CV)])</f>
        <v>0</v>
      </c>
      <c r="E164" s="66">
        <f>_xlfn.XLOOKUP(CoreValuesResults[[#This Row],[Team Number]],InnovationProjectResults[Team Number],InnovationProjectResults[Implement 1 (CV)])</f>
        <v>0</v>
      </c>
      <c r="F164" s="66">
        <f>_xlfn.XLOOKUP(CoreValuesResults[[#This Row],[Team Number]],InnovationProjectResults[Team Number],InnovationProjectResults[Communicate 2 (CV)])</f>
        <v>0</v>
      </c>
      <c r="G164" s="66">
        <f>_xlfn.XLOOKUP(CoreValuesResults[[#This Row],[Team Number]],RobotDesignResults[Team Number],RobotDesignResults[Identify 2 (CV)])</f>
        <v>0</v>
      </c>
      <c r="H164" s="66">
        <f>_xlfn.XLOOKUP(CoreValuesResults[[#This Row],[Team Number]],RobotDesignResults[Team Number],RobotDesignResults[Iterate 3 (CV)])</f>
        <v>0</v>
      </c>
      <c r="I164" s="66">
        <f>_xlfn.XLOOKUP(CoreValuesResults[[#This Row],[Team Number]],RobotDesignResults[Team Number],RobotDesignResults[Communicate 1 (CV)])</f>
        <v>0</v>
      </c>
      <c r="J164" s="66">
        <f>_xlfn.XLOOKUP(CoreValuesResults[[#This Row],[Team Number]],RobotDesignResults[Team Number],RobotDesignResults[Communicate 2 (CV)])</f>
        <v>0</v>
      </c>
      <c r="K164" s="12"/>
      <c r="L164" s="12"/>
      <c r="M164" s="12"/>
      <c r="N164" s="12"/>
      <c r="O164" s="12"/>
      <c r="P164" s="12"/>
      <c r="Q164" s="8" t="str">
        <f>IF(CoreValuesResults[[#This Row],[Gracious Professionalism 1]]="","",COUNTIF(CoreValuesResults[[#This Row],[Gracious Professionalism 1]:[Gracious Professionalism 5]],""))</f>
        <v/>
      </c>
      <c r="R164" s="8" t="str">
        <f>IF(CoreValuesResults[[#This Row],[Gracious Professionalism 1]]="","",SUM(CoreValuesResults[[#This Row],[Gracious Professionalism 1]:[Gracious Professionalism 5]]))</f>
        <v/>
      </c>
      <c r="S164"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64" s="36">
        <f>SUM(CoreValuesResults[[#This Row],[Project CV 1 - EXPLORE]:[Engineering CV 4 - COMMUNINCATE]],CoreValuesResults[[#This Row],[Gracious Professionalism Score]])</f>
        <v>0</v>
      </c>
      <c r="U164" s="21">
        <f>IF(CoreValuesResults[[#This Row],[Team Number]]&gt;0,MIN(_xlfn.RANK.EQ(CoreValuesResults[[#This Row],[Core Values Score]],CoreValuesResults[Core Values Score],0),NumberOfTeams),NumberOfTeams+1)</f>
        <v>9</v>
      </c>
      <c r="V164" s="35"/>
      <c r="W164" s="35"/>
    </row>
    <row r="165" spans="1:23" ht="30" customHeight="1" x14ac:dyDescent="0.25">
      <c r="A165" s="8">
        <f>_xlfn.XLOOKUP(164,OfficialTeamList[Row],OfficialTeamList[Team Number],"ERROR",0)</f>
        <v>0</v>
      </c>
      <c r="B165" s="20" t="str">
        <f>_xlfn.XLOOKUP(CoreValuesResults[[#This Row],[Team Number]],OfficialTeamList[Team Number],OfficialTeamList[Team Name],"",0,)</f>
        <v/>
      </c>
      <c r="C165" s="66">
        <f>_xlfn.XLOOKUP(CoreValuesResults[[#This Row],[Team Number]],InnovationProjectResults[Team Number],InnovationProjectResults[Explore 2 (CV)])</f>
        <v>0</v>
      </c>
      <c r="D165" s="66">
        <f>_xlfn.XLOOKUP(CoreValuesResults[[#This Row],[Team Number]],InnovationProjectResults[Team Number],InnovationProjectResults[Ideate 3 (CV)])</f>
        <v>0</v>
      </c>
      <c r="E165" s="66">
        <f>_xlfn.XLOOKUP(CoreValuesResults[[#This Row],[Team Number]],InnovationProjectResults[Team Number],InnovationProjectResults[Implement 1 (CV)])</f>
        <v>0</v>
      </c>
      <c r="F165" s="66">
        <f>_xlfn.XLOOKUP(CoreValuesResults[[#This Row],[Team Number]],InnovationProjectResults[Team Number],InnovationProjectResults[Communicate 2 (CV)])</f>
        <v>0</v>
      </c>
      <c r="G165" s="66">
        <f>_xlfn.XLOOKUP(CoreValuesResults[[#This Row],[Team Number]],RobotDesignResults[Team Number],RobotDesignResults[Identify 2 (CV)])</f>
        <v>0</v>
      </c>
      <c r="H165" s="66">
        <f>_xlfn.XLOOKUP(CoreValuesResults[[#This Row],[Team Number]],RobotDesignResults[Team Number],RobotDesignResults[Iterate 3 (CV)])</f>
        <v>0</v>
      </c>
      <c r="I165" s="66">
        <f>_xlfn.XLOOKUP(CoreValuesResults[[#This Row],[Team Number]],RobotDesignResults[Team Number],RobotDesignResults[Communicate 1 (CV)])</f>
        <v>0</v>
      </c>
      <c r="J165" s="66">
        <f>_xlfn.XLOOKUP(CoreValuesResults[[#This Row],[Team Number]],RobotDesignResults[Team Number],RobotDesignResults[Communicate 2 (CV)])</f>
        <v>0</v>
      </c>
      <c r="K165" s="12"/>
      <c r="L165" s="12"/>
      <c r="M165" s="12"/>
      <c r="N165" s="12"/>
      <c r="O165" s="12"/>
      <c r="P165" s="12"/>
      <c r="Q165" s="8" t="str">
        <f>IF(CoreValuesResults[[#This Row],[Gracious Professionalism 1]]="","",COUNTIF(CoreValuesResults[[#This Row],[Gracious Professionalism 1]:[Gracious Professionalism 5]],""))</f>
        <v/>
      </c>
      <c r="R165" s="8" t="str">
        <f>IF(CoreValuesResults[[#This Row],[Gracious Professionalism 1]]="","",SUM(CoreValuesResults[[#This Row],[Gracious Professionalism 1]:[Gracious Professionalism 5]]))</f>
        <v/>
      </c>
      <c r="S165"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65" s="36">
        <f>SUM(CoreValuesResults[[#This Row],[Project CV 1 - EXPLORE]:[Engineering CV 4 - COMMUNINCATE]],CoreValuesResults[[#This Row],[Gracious Professionalism Score]])</f>
        <v>0</v>
      </c>
      <c r="U165" s="21">
        <f>IF(CoreValuesResults[[#This Row],[Team Number]]&gt;0,MIN(_xlfn.RANK.EQ(CoreValuesResults[[#This Row],[Core Values Score]],CoreValuesResults[Core Values Score],0),NumberOfTeams),NumberOfTeams+1)</f>
        <v>9</v>
      </c>
      <c r="V165" s="35"/>
      <c r="W165" s="35"/>
    </row>
    <row r="166" spans="1:23" ht="30" customHeight="1" x14ac:dyDescent="0.25">
      <c r="A166" s="8">
        <f>_xlfn.XLOOKUP(165,OfficialTeamList[Row],OfficialTeamList[Team Number],"ERROR",0)</f>
        <v>0</v>
      </c>
      <c r="B166" s="20" t="str">
        <f>_xlfn.XLOOKUP(CoreValuesResults[[#This Row],[Team Number]],OfficialTeamList[Team Number],OfficialTeamList[Team Name],"",0,)</f>
        <v/>
      </c>
      <c r="C166" s="66">
        <f>_xlfn.XLOOKUP(CoreValuesResults[[#This Row],[Team Number]],InnovationProjectResults[Team Number],InnovationProjectResults[Explore 2 (CV)])</f>
        <v>0</v>
      </c>
      <c r="D166" s="66">
        <f>_xlfn.XLOOKUP(CoreValuesResults[[#This Row],[Team Number]],InnovationProjectResults[Team Number],InnovationProjectResults[Ideate 3 (CV)])</f>
        <v>0</v>
      </c>
      <c r="E166" s="66">
        <f>_xlfn.XLOOKUP(CoreValuesResults[[#This Row],[Team Number]],InnovationProjectResults[Team Number],InnovationProjectResults[Implement 1 (CV)])</f>
        <v>0</v>
      </c>
      <c r="F166" s="66">
        <f>_xlfn.XLOOKUP(CoreValuesResults[[#This Row],[Team Number]],InnovationProjectResults[Team Number],InnovationProjectResults[Communicate 2 (CV)])</f>
        <v>0</v>
      </c>
      <c r="G166" s="66">
        <f>_xlfn.XLOOKUP(CoreValuesResults[[#This Row],[Team Number]],RobotDesignResults[Team Number],RobotDesignResults[Identify 2 (CV)])</f>
        <v>0</v>
      </c>
      <c r="H166" s="66">
        <f>_xlfn.XLOOKUP(CoreValuesResults[[#This Row],[Team Number]],RobotDesignResults[Team Number],RobotDesignResults[Iterate 3 (CV)])</f>
        <v>0</v>
      </c>
      <c r="I166" s="66">
        <f>_xlfn.XLOOKUP(CoreValuesResults[[#This Row],[Team Number]],RobotDesignResults[Team Number],RobotDesignResults[Communicate 1 (CV)])</f>
        <v>0</v>
      </c>
      <c r="J166" s="66">
        <f>_xlfn.XLOOKUP(CoreValuesResults[[#This Row],[Team Number]],RobotDesignResults[Team Number],RobotDesignResults[Communicate 2 (CV)])</f>
        <v>0</v>
      </c>
      <c r="K166" s="12"/>
      <c r="L166" s="12"/>
      <c r="M166" s="12"/>
      <c r="N166" s="12"/>
      <c r="O166" s="12"/>
      <c r="P166" s="12"/>
      <c r="Q166" s="8" t="str">
        <f>IF(CoreValuesResults[[#This Row],[Gracious Professionalism 1]]="","",COUNTIF(CoreValuesResults[[#This Row],[Gracious Professionalism 1]:[Gracious Professionalism 5]],""))</f>
        <v/>
      </c>
      <c r="R166" s="8" t="str">
        <f>IF(CoreValuesResults[[#This Row],[Gracious Professionalism 1]]="","",SUM(CoreValuesResults[[#This Row],[Gracious Professionalism 1]:[Gracious Professionalism 5]]))</f>
        <v/>
      </c>
      <c r="S166"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66" s="36">
        <f>SUM(CoreValuesResults[[#This Row],[Project CV 1 - EXPLORE]:[Engineering CV 4 - COMMUNINCATE]],CoreValuesResults[[#This Row],[Gracious Professionalism Score]])</f>
        <v>0</v>
      </c>
      <c r="U166" s="21">
        <f>IF(CoreValuesResults[[#This Row],[Team Number]]&gt;0,MIN(_xlfn.RANK.EQ(CoreValuesResults[[#This Row],[Core Values Score]],CoreValuesResults[Core Values Score],0),NumberOfTeams),NumberOfTeams+1)</f>
        <v>9</v>
      </c>
      <c r="V166" s="35"/>
      <c r="W166" s="35"/>
    </row>
    <row r="167" spans="1:23" ht="30" customHeight="1" x14ac:dyDescent="0.25">
      <c r="A167" s="8">
        <f>_xlfn.XLOOKUP(166,OfficialTeamList[Row],OfficialTeamList[Team Number],"ERROR",0)</f>
        <v>0</v>
      </c>
      <c r="B167" s="20" t="str">
        <f>_xlfn.XLOOKUP(CoreValuesResults[[#This Row],[Team Number]],OfficialTeamList[Team Number],OfficialTeamList[Team Name],"",0,)</f>
        <v/>
      </c>
      <c r="C167" s="66">
        <f>_xlfn.XLOOKUP(CoreValuesResults[[#This Row],[Team Number]],InnovationProjectResults[Team Number],InnovationProjectResults[Explore 2 (CV)])</f>
        <v>0</v>
      </c>
      <c r="D167" s="66">
        <f>_xlfn.XLOOKUP(CoreValuesResults[[#This Row],[Team Number]],InnovationProjectResults[Team Number],InnovationProjectResults[Ideate 3 (CV)])</f>
        <v>0</v>
      </c>
      <c r="E167" s="66">
        <f>_xlfn.XLOOKUP(CoreValuesResults[[#This Row],[Team Number]],InnovationProjectResults[Team Number],InnovationProjectResults[Implement 1 (CV)])</f>
        <v>0</v>
      </c>
      <c r="F167" s="66">
        <f>_xlfn.XLOOKUP(CoreValuesResults[[#This Row],[Team Number]],InnovationProjectResults[Team Number],InnovationProjectResults[Communicate 2 (CV)])</f>
        <v>0</v>
      </c>
      <c r="G167" s="66">
        <f>_xlfn.XLOOKUP(CoreValuesResults[[#This Row],[Team Number]],RobotDesignResults[Team Number],RobotDesignResults[Identify 2 (CV)])</f>
        <v>0</v>
      </c>
      <c r="H167" s="66">
        <f>_xlfn.XLOOKUP(CoreValuesResults[[#This Row],[Team Number]],RobotDesignResults[Team Number],RobotDesignResults[Iterate 3 (CV)])</f>
        <v>0</v>
      </c>
      <c r="I167" s="66">
        <f>_xlfn.XLOOKUP(CoreValuesResults[[#This Row],[Team Number]],RobotDesignResults[Team Number],RobotDesignResults[Communicate 1 (CV)])</f>
        <v>0</v>
      </c>
      <c r="J167" s="66">
        <f>_xlfn.XLOOKUP(CoreValuesResults[[#This Row],[Team Number]],RobotDesignResults[Team Number],RobotDesignResults[Communicate 2 (CV)])</f>
        <v>0</v>
      </c>
      <c r="K167" s="12"/>
      <c r="L167" s="12"/>
      <c r="M167" s="12"/>
      <c r="N167" s="12"/>
      <c r="O167" s="12"/>
      <c r="P167" s="12"/>
      <c r="Q167" s="8" t="str">
        <f>IF(CoreValuesResults[[#This Row],[Gracious Professionalism 1]]="","",COUNTIF(CoreValuesResults[[#This Row],[Gracious Professionalism 1]:[Gracious Professionalism 5]],""))</f>
        <v/>
      </c>
      <c r="R167" s="8" t="str">
        <f>IF(CoreValuesResults[[#This Row],[Gracious Professionalism 1]]="","",SUM(CoreValuesResults[[#This Row],[Gracious Professionalism 1]:[Gracious Professionalism 5]]))</f>
        <v/>
      </c>
      <c r="S167"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67" s="36">
        <f>SUM(CoreValuesResults[[#This Row],[Project CV 1 - EXPLORE]:[Engineering CV 4 - COMMUNINCATE]],CoreValuesResults[[#This Row],[Gracious Professionalism Score]])</f>
        <v>0</v>
      </c>
      <c r="U167" s="21">
        <f>IF(CoreValuesResults[[#This Row],[Team Number]]&gt;0,MIN(_xlfn.RANK.EQ(CoreValuesResults[[#This Row],[Core Values Score]],CoreValuesResults[Core Values Score],0),NumberOfTeams),NumberOfTeams+1)</f>
        <v>9</v>
      </c>
      <c r="V167" s="35"/>
      <c r="W167" s="35"/>
    </row>
    <row r="168" spans="1:23" ht="30" customHeight="1" x14ac:dyDescent="0.25">
      <c r="A168" s="8">
        <f>_xlfn.XLOOKUP(167,OfficialTeamList[Row],OfficialTeamList[Team Number],"ERROR",0)</f>
        <v>0</v>
      </c>
      <c r="B168" s="20" t="str">
        <f>_xlfn.XLOOKUP(CoreValuesResults[[#This Row],[Team Number]],OfficialTeamList[Team Number],OfficialTeamList[Team Name],"",0,)</f>
        <v/>
      </c>
      <c r="C168" s="66">
        <f>_xlfn.XLOOKUP(CoreValuesResults[[#This Row],[Team Number]],InnovationProjectResults[Team Number],InnovationProjectResults[Explore 2 (CV)])</f>
        <v>0</v>
      </c>
      <c r="D168" s="66">
        <f>_xlfn.XLOOKUP(CoreValuesResults[[#This Row],[Team Number]],InnovationProjectResults[Team Number],InnovationProjectResults[Ideate 3 (CV)])</f>
        <v>0</v>
      </c>
      <c r="E168" s="66">
        <f>_xlfn.XLOOKUP(CoreValuesResults[[#This Row],[Team Number]],InnovationProjectResults[Team Number],InnovationProjectResults[Implement 1 (CV)])</f>
        <v>0</v>
      </c>
      <c r="F168" s="66">
        <f>_xlfn.XLOOKUP(CoreValuesResults[[#This Row],[Team Number]],InnovationProjectResults[Team Number],InnovationProjectResults[Communicate 2 (CV)])</f>
        <v>0</v>
      </c>
      <c r="G168" s="66">
        <f>_xlfn.XLOOKUP(CoreValuesResults[[#This Row],[Team Number]],RobotDesignResults[Team Number],RobotDesignResults[Identify 2 (CV)])</f>
        <v>0</v>
      </c>
      <c r="H168" s="66">
        <f>_xlfn.XLOOKUP(CoreValuesResults[[#This Row],[Team Number]],RobotDesignResults[Team Number],RobotDesignResults[Iterate 3 (CV)])</f>
        <v>0</v>
      </c>
      <c r="I168" s="66">
        <f>_xlfn.XLOOKUP(CoreValuesResults[[#This Row],[Team Number]],RobotDesignResults[Team Number],RobotDesignResults[Communicate 1 (CV)])</f>
        <v>0</v>
      </c>
      <c r="J168" s="66">
        <f>_xlfn.XLOOKUP(CoreValuesResults[[#This Row],[Team Number]],RobotDesignResults[Team Number],RobotDesignResults[Communicate 2 (CV)])</f>
        <v>0</v>
      </c>
      <c r="K168" s="12"/>
      <c r="L168" s="12"/>
      <c r="M168" s="12"/>
      <c r="N168" s="12"/>
      <c r="O168" s="12"/>
      <c r="P168" s="12"/>
      <c r="Q168" s="8" t="str">
        <f>IF(CoreValuesResults[[#This Row],[Gracious Professionalism 1]]="","",COUNTIF(CoreValuesResults[[#This Row],[Gracious Professionalism 1]:[Gracious Professionalism 5]],""))</f>
        <v/>
      </c>
      <c r="R168" s="8" t="str">
        <f>IF(CoreValuesResults[[#This Row],[Gracious Professionalism 1]]="","",SUM(CoreValuesResults[[#This Row],[Gracious Professionalism 1]:[Gracious Professionalism 5]]))</f>
        <v/>
      </c>
      <c r="S168"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68" s="36">
        <f>SUM(CoreValuesResults[[#This Row],[Project CV 1 - EXPLORE]:[Engineering CV 4 - COMMUNINCATE]],CoreValuesResults[[#This Row],[Gracious Professionalism Score]])</f>
        <v>0</v>
      </c>
      <c r="U168" s="21">
        <f>IF(CoreValuesResults[[#This Row],[Team Number]]&gt;0,MIN(_xlfn.RANK.EQ(CoreValuesResults[[#This Row],[Core Values Score]],CoreValuesResults[Core Values Score],0),NumberOfTeams),NumberOfTeams+1)</f>
        <v>9</v>
      </c>
      <c r="V168" s="35"/>
      <c r="W168" s="35"/>
    </row>
    <row r="169" spans="1:23" ht="30" customHeight="1" x14ac:dyDescent="0.25">
      <c r="A169" s="8">
        <f>_xlfn.XLOOKUP(168,OfficialTeamList[Row],OfficialTeamList[Team Number],"ERROR",0)</f>
        <v>0</v>
      </c>
      <c r="B169" s="20" t="str">
        <f>_xlfn.XLOOKUP(CoreValuesResults[[#This Row],[Team Number]],OfficialTeamList[Team Number],OfficialTeamList[Team Name],"",0,)</f>
        <v/>
      </c>
      <c r="C169" s="66">
        <f>_xlfn.XLOOKUP(CoreValuesResults[[#This Row],[Team Number]],InnovationProjectResults[Team Number],InnovationProjectResults[Explore 2 (CV)])</f>
        <v>0</v>
      </c>
      <c r="D169" s="66">
        <f>_xlfn.XLOOKUP(CoreValuesResults[[#This Row],[Team Number]],InnovationProjectResults[Team Number],InnovationProjectResults[Ideate 3 (CV)])</f>
        <v>0</v>
      </c>
      <c r="E169" s="66">
        <f>_xlfn.XLOOKUP(CoreValuesResults[[#This Row],[Team Number]],InnovationProjectResults[Team Number],InnovationProjectResults[Implement 1 (CV)])</f>
        <v>0</v>
      </c>
      <c r="F169" s="66">
        <f>_xlfn.XLOOKUP(CoreValuesResults[[#This Row],[Team Number]],InnovationProjectResults[Team Number],InnovationProjectResults[Communicate 2 (CV)])</f>
        <v>0</v>
      </c>
      <c r="G169" s="66">
        <f>_xlfn.XLOOKUP(CoreValuesResults[[#This Row],[Team Number]],RobotDesignResults[Team Number],RobotDesignResults[Identify 2 (CV)])</f>
        <v>0</v>
      </c>
      <c r="H169" s="66">
        <f>_xlfn.XLOOKUP(CoreValuesResults[[#This Row],[Team Number]],RobotDesignResults[Team Number],RobotDesignResults[Iterate 3 (CV)])</f>
        <v>0</v>
      </c>
      <c r="I169" s="66">
        <f>_xlfn.XLOOKUP(CoreValuesResults[[#This Row],[Team Number]],RobotDesignResults[Team Number],RobotDesignResults[Communicate 1 (CV)])</f>
        <v>0</v>
      </c>
      <c r="J169" s="66">
        <f>_xlfn.XLOOKUP(CoreValuesResults[[#This Row],[Team Number]],RobotDesignResults[Team Number],RobotDesignResults[Communicate 2 (CV)])</f>
        <v>0</v>
      </c>
      <c r="K169" s="12"/>
      <c r="L169" s="12"/>
      <c r="M169" s="12"/>
      <c r="N169" s="12"/>
      <c r="O169" s="12"/>
      <c r="P169" s="12"/>
      <c r="Q169" s="8" t="str">
        <f>IF(CoreValuesResults[[#This Row],[Gracious Professionalism 1]]="","",COUNTIF(CoreValuesResults[[#This Row],[Gracious Professionalism 1]:[Gracious Professionalism 5]],""))</f>
        <v/>
      </c>
      <c r="R169" s="8" t="str">
        <f>IF(CoreValuesResults[[#This Row],[Gracious Professionalism 1]]="","",SUM(CoreValuesResults[[#This Row],[Gracious Professionalism 1]:[Gracious Professionalism 5]]))</f>
        <v/>
      </c>
      <c r="S169"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69" s="36">
        <f>SUM(CoreValuesResults[[#This Row],[Project CV 1 - EXPLORE]:[Engineering CV 4 - COMMUNINCATE]],CoreValuesResults[[#This Row],[Gracious Professionalism Score]])</f>
        <v>0</v>
      </c>
      <c r="U169" s="21">
        <f>IF(CoreValuesResults[[#This Row],[Team Number]]&gt;0,MIN(_xlfn.RANK.EQ(CoreValuesResults[[#This Row],[Core Values Score]],CoreValuesResults[Core Values Score],0),NumberOfTeams),NumberOfTeams+1)</f>
        <v>9</v>
      </c>
      <c r="V169" s="35"/>
      <c r="W169" s="35"/>
    </row>
    <row r="170" spans="1:23" ht="30" customHeight="1" x14ac:dyDescent="0.25">
      <c r="A170" s="8">
        <f>_xlfn.XLOOKUP(169,OfficialTeamList[Row],OfficialTeamList[Team Number],"ERROR",0)</f>
        <v>0</v>
      </c>
      <c r="B170" s="20" t="str">
        <f>_xlfn.XLOOKUP(CoreValuesResults[[#This Row],[Team Number]],OfficialTeamList[Team Number],OfficialTeamList[Team Name],"",0,)</f>
        <v/>
      </c>
      <c r="C170" s="66">
        <f>_xlfn.XLOOKUP(CoreValuesResults[[#This Row],[Team Number]],InnovationProjectResults[Team Number],InnovationProjectResults[Explore 2 (CV)])</f>
        <v>0</v>
      </c>
      <c r="D170" s="66">
        <f>_xlfn.XLOOKUP(CoreValuesResults[[#This Row],[Team Number]],InnovationProjectResults[Team Number],InnovationProjectResults[Ideate 3 (CV)])</f>
        <v>0</v>
      </c>
      <c r="E170" s="66">
        <f>_xlfn.XLOOKUP(CoreValuesResults[[#This Row],[Team Number]],InnovationProjectResults[Team Number],InnovationProjectResults[Implement 1 (CV)])</f>
        <v>0</v>
      </c>
      <c r="F170" s="66">
        <f>_xlfn.XLOOKUP(CoreValuesResults[[#This Row],[Team Number]],InnovationProjectResults[Team Number],InnovationProjectResults[Communicate 2 (CV)])</f>
        <v>0</v>
      </c>
      <c r="G170" s="66">
        <f>_xlfn.XLOOKUP(CoreValuesResults[[#This Row],[Team Number]],RobotDesignResults[Team Number],RobotDesignResults[Identify 2 (CV)])</f>
        <v>0</v>
      </c>
      <c r="H170" s="66">
        <f>_xlfn.XLOOKUP(CoreValuesResults[[#This Row],[Team Number]],RobotDesignResults[Team Number],RobotDesignResults[Iterate 3 (CV)])</f>
        <v>0</v>
      </c>
      <c r="I170" s="66">
        <f>_xlfn.XLOOKUP(CoreValuesResults[[#This Row],[Team Number]],RobotDesignResults[Team Number],RobotDesignResults[Communicate 1 (CV)])</f>
        <v>0</v>
      </c>
      <c r="J170" s="66">
        <f>_xlfn.XLOOKUP(CoreValuesResults[[#This Row],[Team Number]],RobotDesignResults[Team Number],RobotDesignResults[Communicate 2 (CV)])</f>
        <v>0</v>
      </c>
      <c r="K170" s="12"/>
      <c r="L170" s="12"/>
      <c r="M170" s="12"/>
      <c r="N170" s="12"/>
      <c r="O170" s="12"/>
      <c r="P170" s="12"/>
      <c r="Q170" s="8" t="str">
        <f>IF(CoreValuesResults[[#This Row],[Gracious Professionalism 1]]="","",COUNTIF(CoreValuesResults[[#This Row],[Gracious Professionalism 1]:[Gracious Professionalism 5]],""))</f>
        <v/>
      </c>
      <c r="R170" s="8" t="str">
        <f>IF(CoreValuesResults[[#This Row],[Gracious Professionalism 1]]="","",SUM(CoreValuesResults[[#This Row],[Gracious Professionalism 1]:[Gracious Professionalism 5]]))</f>
        <v/>
      </c>
      <c r="S170"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70" s="36">
        <f>SUM(CoreValuesResults[[#This Row],[Project CV 1 - EXPLORE]:[Engineering CV 4 - COMMUNINCATE]],CoreValuesResults[[#This Row],[Gracious Professionalism Score]])</f>
        <v>0</v>
      </c>
      <c r="U170" s="21">
        <f>IF(CoreValuesResults[[#This Row],[Team Number]]&gt;0,MIN(_xlfn.RANK.EQ(CoreValuesResults[[#This Row],[Core Values Score]],CoreValuesResults[Core Values Score],0),NumberOfTeams),NumberOfTeams+1)</f>
        <v>9</v>
      </c>
      <c r="V170" s="35"/>
      <c r="W170" s="35"/>
    </row>
    <row r="171" spans="1:23" ht="30" customHeight="1" x14ac:dyDescent="0.25">
      <c r="A171" s="8">
        <f>_xlfn.XLOOKUP(170,OfficialTeamList[Row],OfficialTeamList[Team Number],"ERROR",0)</f>
        <v>0</v>
      </c>
      <c r="B171" s="20" t="str">
        <f>_xlfn.XLOOKUP(CoreValuesResults[[#This Row],[Team Number]],OfficialTeamList[Team Number],OfficialTeamList[Team Name],"",0,)</f>
        <v/>
      </c>
      <c r="C171" s="66">
        <f>_xlfn.XLOOKUP(CoreValuesResults[[#This Row],[Team Number]],InnovationProjectResults[Team Number],InnovationProjectResults[Explore 2 (CV)])</f>
        <v>0</v>
      </c>
      <c r="D171" s="66">
        <f>_xlfn.XLOOKUP(CoreValuesResults[[#This Row],[Team Number]],InnovationProjectResults[Team Number],InnovationProjectResults[Ideate 3 (CV)])</f>
        <v>0</v>
      </c>
      <c r="E171" s="66">
        <f>_xlfn.XLOOKUP(CoreValuesResults[[#This Row],[Team Number]],InnovationProjectResults[Team Number],InnovationProjectResults[Implement 1 (CV)])</f>
        <v>0</v>
      </c>
      <c r="F171" s="66">
        <f>_xlfn.XLOOKUP(CoreValuesResults[[#This Row],[Team Number]],InnovationProjectResults[Team Number],InnovationProjectResults[Communicate 2 (CV)])</f>
        <v>0</v>
      </c>
      <c r="G171" s="66">
        <f>_xlfn.XLOOKUP(CoreValuesResults[[#This Row],[Team Number]],RobotDesignResults[Team Number],RobotDesignResults[Identify 2 (CV)])</f>
        <v>0</v>
      </c>
      <c r="H171" s="66">
        <f>_xlfn.XLOOKUP(CoreValuesResults[[#This Row],[Team Number]],RobotDesignResults[Team Number],RobotDesignResults[Iterate 3 (CV)])</f>
        <v>0</v>
      </c>
      <c r="I171" s="66">
        <f>_xlfn.XLOOKUP(CoreValuesResults[[#This Row],[Team Number]],RobotDesignResults[Team Number],RobotDesignResults[Communicate 1 (CV)])</f>
        <v>0</v>
      </c>
      <c r="J171" s="66">
        <f>_xlfn.XLOOKUP(CoreValuesResults[[#This Row],[Team Number]],RobotDesignResults[Team Number],RobotDesignResults[Communicate 2 (CV)])</f>
        <v>0</v>
      </c>
      <c r="K171" s="12"/>
      <c r="L171" s="12"/>
      <c r="M171" s="12"/>
      <c r="N171" s="12"/>
      <c r="O171" s="12"/>
      <c r="P171" s="12"/>
      <c r="Q171" s="8" t="str">
        <f>IF(CoreValuesResults[[#This Row],[Gracious Professionalism 1]]="","",COUNTIF(CoreValuesResults[[#This Row],[Gracious Professionalism 1]:[Gracious Professionalism 5]],""))</f>
        <v/>
      </c>
      <c r="R171" s="8" t="str">
        <f>IF(CoreValuesResults[[#This Row],[Gracious Professionalism 1]]="","",SUM(CoreValuesResults[[#This Row],[Gracious Professionalism 1]:[Gracious Professionalism 5]]))</f>
        <v/>
      </c>
      <c r="S171"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71" s="36">
        <f>SUM(CoreValuesResults[[#This Row],[Project CV 1 - EXPLORE]:[Engineering CV 4 - COMMUNINCATE]],CoreValuesResults[[#This Row],[Gracious Professionalism Score]])</f>
        <v>0</v>
      </c>
      <c r="U171" s="21">
        <f>IF(CoreValuesResults[[#This Row],[Team Number]]&gt;0,MIN(_xlfn.RANK.EQ(CoreValuesResults[[#This Row],[Core Values Score]],CoreValuesResults[Core Values Score],0),NumberOfTeams),NumberOfTeams+1)</f>
        <v>9</v>
      </c>
      <c r="V171" s="35"/>
      <c r="W171" s="35"/>
    </row>
    <row r="172" spans="1:23" ht="30" customHeight="1" x14ac:dyDescent="0.25">
      <c r="A172" s="8">
        <f>_xlfn.XLOOKUP(171,OfficialTeamList[Row],OfficialTeamList[Team Number],"ERROR",0)</f>
        <v>0</v>
      </c>
      <c r="B172" s="20" t="str">
        <f>_xlfn.XLOOKUP(CoreValuesResults[[#This Row],[Team Number]],OfficialTeamList[Team Number],OfficialTeamList[Team Name],"",0,)</f>
        <v/>
      </c>
      <c r="C172" s="66">
        <f>_xlfn.XLOOKUP(CoreValuesResults[[#This Row],[Team Number]],InnovationProjectResults[Team Number],InnovationProjectResults[Explore 2 (CV)])</f>
        <v>0</v>
      </c>
      <c r="D172" s="66">
        <f>_xlfn.XLOOKUP(CoreValuesResults[[#This Row],[Team Number]],InnovationProjectResults[Team Number],InnovationProjectResults[Ideate 3 (CV)])</f>
        <v>0</v>
      </c>
      <c r="E172" s="66">
        <f>_xlfn.XLOOKUP(CoreValuesResults[[#This Row],[Team Number]],InnovationProjectResults[Team Number],InnovationProjectResults[Implement 1 (CV)])</f>
        <v>0</v>
      </c>
      <c r="F172" s="66">
        <f>_xlfn.XLOOKUP(CoreValuesResults[[#This Row],[Team Number]],InnovationProjectResults[Team Number],InnovationProjectResults[Communicate 2 (CV)])</f>
        <v>0</v>
      </c>
      <c r="G172" s="66">
        <f>_xlfn.XLOOKUP(CoreValuesResults[[#This Row],[Team Number]],RobotDesignResults[Team Number],RobotDesignResults[Identify 2 (CV)])</f>
        <v>0</v>
      </c>
      <c r="H172" s="66">
        <f>_xlfn.XLOOKUP(CoreValuesResults[[#This Row],[Team Number]],RobotDesignResults[Team Number],RobotDesignResults[Iterate 3 (CV)])</f>
        <v>0</v>
      </c>
      <c r="I172" s="66">
        <f>_xlfn.XLOOKUP(CoreValuesResults[[#This Row],[Team Number]],RobotDesignResults[Team Number],RobotDesignResults[Communicate 1 (CV)])</f>
        <v>0</v>
      </c>
      <c r="J172" s="66">
        <f>_xlfn.XLOOKUP(CoreValuesResults[[#This Row],[Team Number]],RobotDesignResults[Team Number],RobotDesignResults[Communicate 2 (CV)])</f>
        <v>0</v>
      </c>
      <c r="K172" s="12"/>
      <c r="L172" s="12"/>
      <c r="M172" s="12"/>
      <c r="N172" s="12"/>
      <c r="O172" s="12"/>
      <c r="P172" s="12"/>
      <c r="Q172" s="8" t="str">
        <f>IF(CoreValuesResults[[#This Row],[Gracious Professionalism 1]]="","",COUNTIF(CoreValuesResults[[#This Row],[Gracious Professionalism 1]:[Gracious Professionalism 5]],""))</f>
        <v/>
      </c>
      <c r="R172" s="8" t="str">
        <f>IF(CoreValuesResults[[#This Row],[Gracious Professionalism 1]]="","",SUM(CoreValuesResults[[#This Row],[Gracious Professionalism 1]:[Gracious Professionalism 5]]))</f>
        <v/>
      </c>
      <c r="S172"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72" s="36">
        <f>SUM(CoreValuesResults[[#This Row],[Project CV 1 - EXPLORE]:[Engineering CV 4 - COMMUNINCATE]],CoreValuesResults[[#This Row],[Gracious Professionalism Score]])</f>
        <v>0</v>
      </c>
      <c r="U172" s="21">
        <f>IF(CoreValuesResults[[#This Row],[Team Number]]&gt;0,MIN(_xlfn.RANK.EQ(CoreValuesResults[[#This Row],[Core Values Score]],CoreValuesResults[Core Values Score],0),NumberOfTeams),NumberOfTeams+1)</f>
        <v>9</v>
      </c>
      <c r="V172" s="35"/>
      <c r="W172" s="35"/>
    </row>
    <row r="173" spans="1:23" ht="30" customHeight="1" x14ac:dyDescent="0.25">
      <c r="A173" s="8">
        <f>_xlfn.XLOOKUP(172,OfficialTeamList[Row],OfficialTeamList[Team Number],"ERROR",0)</f>
        <v>0</v>
      </c>
      <c r="B173" s="20" t="str">
        <f>_xlfn.XLOOKUP(CoreValuesResults[[#This Row],[Team Number]],OfficialTeamList[Team Number],OfficialTeamList[Team Name],"",0,)</f>
        <v/>
      </c>
      <c r="C173" s="66">
        <f>_xlfn.XLOOKUP(CoreValuesResults[[#This Row],[Team Number]],InnovationProjectResults[Team Number],InnovationProjectResults[Explore 2 (CV)])</f>
        <v>0</v>
      </c>
      <c r="D173" s="66">
        <f>_xlfn.XLOOKUP(CoreValuesResults[[#This Row],[Team Number]],InnovationProjectResults[Team Number],InnovationProjectResults[Ideate 3 (CV)])</f>
        <v>0</v>
      </c>
      <c r="E173" s="66">
        <f>_xlfn.XLOOKUP(CoreValuesResults[[#This Row],[Team Number]],InnovationProjectResults[Team Number],InnovationProjectResults[Implement 1 (CV)])</f>
        <v>0</v>
      </c>
      <c r="F173" s="66">
        <f>_xlfn.XLOOKUP(CoreValuesResults[[#This Row],[Team Number]],InnovationProjectResults[Team Number],InnovationProjectResults[Communicate 2 (CV)])</f>
        <v>0</v>
      </c>
      <c r="G173" s="66">
        <f>_xlfn.XLOOKUP(CoreValuesResults[[#This Row],[Team Number]],RobotDesignResults[Team Number],RobotDesignResults[Identify 2 (CV)])</f>
        <v>0</v>
      </c>
      <c r="H173" s="66">
        <f>_xlfn.XLOOKUP(CoreValuesResults[[#This Row],[Team Number]],RobotDesignResults[Team Number],RobotDesignResults[Iterate 3 (CV)])</f>
        <v>0</v>
      </c>
      <c r="I173" s="66">
        <f>_xlfn.XLOOKUP(CoreValuesResults[[#This Row],[Team Number]],RobotDesignResults[Team Number],RobotDesignResults[Communicate 1 (CV)])</f>
        <v>0</v>
      </c>
      <c r="J173" s="66">
        <f>_xlfn.XLOOKUP(CoreValuesResults[[#This Row],[Team Number]],RobotDesignResults[Team Number],RobotDesignResults[Communicate 2 (CV)])</f>
        <v>0</v>
      </c>
      <c r="K173" s="12"/>
      <c r="L173" s="12"/>
      <c r="M173" s="12"/>
      <c r="N173" s="12"/>
      <c r="O173" s="12"/>
      <c r="P173" s="12"/>
      <c r="Q173" s="8" t="str">
        <f>IF(CoreValuesResults[[#This Row],[Gracious Professionalism 1]]="","",COUNTIF(CoreValuesResults[[#This Row],[Gracious Professionalism 1]:[Gracious Professionalism 5]],""))</f>
        <v/>
      </c>
      <c r="R173" s="8" t="str">
        <f>IF(CoreValuesResults[[#This Row],[Gracious Professionalism 1]]="","",SUM(CoreValuesResults[[#This Row],[Gracious Professionalism 1]:[Gracious Professionalism 5]]))</f>
        <v/>
      </c>
      <c r="S173"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73" s="36">
        <f>SUM(CoreValuesResults[[#This Row],[Project CV 1 - EXPLORE]:[Engineering CV 4 - COMMUNINCATE]],CoreValuesResults[[#This Row],[Gracious Professionalism Score]])</f>
        <v>0</v>
      </c>
      <c r="U173" s="21">
        <f>IF(CoreValuesResults[[#This Row],[Team Number]]&gt;0,MIN(_xlfn.RANK.EQ(CoreValuesResults[[#This Row],[Core Values Score]],CoreValuesResults[Core Values Score],0),NumberOfTeams),NumberOfTeams+1)</f>
        <v>9</v>
      </c>
      <c r="V173" s="35"/>
      <c r="W173" s="35"/>
    </row>
    <row r="174" spans="1:23" ht="30" customHeight="1" x14ac:dyDescent="0.25">
      <c r="A174" s="8">
        <f>_xlfn.XLOOKUP(173,OfficialTeamList[Row],OfficialTeamList[Team Number],"ERROR",0)</f>
        <v>0</v>
      </c>
      <c r="B174" s="20" t="str">
        <f>_xlfn.XLOOKUP(CoreValuesResults[[#This Row],[Team Number]],OfficialTeamList[Team Number],OfficialTeamList[Team Name],"",0,)</f>
        <v/>
      </c>
      <c r="C174" s="66">
        <f>_xlfn.XLOOKUP(CoreValuesResults[[#This Row],[Team Number]],InnovationProjectResults[Team Number],InnovationProjectResults[Explore 2 (CV)])</f>
        <v>0</v>
      </c>
      <c r="D174" s="66">
        <f>_xlfn.XLOOKUP(CoreValuesResults[[#This Row],[Team Number]],InnovationProjectResults[Team Number],InnovationProjectResults[Ideate 3 (CV)])</f>
        <v>0</v>
      </c>
      <c r="E174" s="66">
        <f>_xlfn.XLOOKUP(CoreValuesResults[[#This Row],[Team Number]],InnovationProjectResults[Team Number],InnovationProjectResults[Implement 1 (CV)])</f>
        <v>0</v>
      </c>
      <c r="F174" s="66">
        <f>_xlfn.XLOOKUP(CoreValuesResults[[#This Row],[Team Number]],InnovationProjectResults[Team Number],InnovationProjectResults[Communicate 2 (CV)])</f>
        <v>0</v>
      </c>
      <c r="G174" s="66">
        <f>_xlfn.XLOOKUP(CoreValuesResults[[#This Row],[Team Number]],RobotDesignResults[Team Number],RobotDesignResults[Identify 2 (CV)])</f>
        <v>0</v>
      </c>
      <c r="H174" s="66">
        <f>_xlfn.XLOOKUP(CoreValuesResults[[#This Row],[Team Number]],RobotDesignResults[Team Number],RobotDesignResults[Iterate 3 (CV)])</f>
        <v>0</v>
      </c>
      <c r="I174" s="66">
        <f>_xlfn.XLOOKUP(CoreValuesResults[[#This Row],[Team Number]],RobotDesignResults[Team Number],RobotDesignResults[Communicate 1 (CV)])</f>
        <v>0</v>
      </c>
      <c r="J174" s="66">
        <f>_xlfn.XLOOKUP(CoreValuesResults[[#This Row],[Team Number]],RobotDesignResults[Team Number],RobotDesignResults[Communicate 2 (CV)])</f>
        <v>0</v>
      </c>
      <c r="K174" s="12"/>
      <c r="L174" s="12"/>
      <c r="M174" s="12"/>
      <c r="N174" s="12"/>
      <c r="O174" s="12"/>
      <c r="P174" s="12"/>
      <c r="Q174" s="8" t="str">
        <f>IF(CoreValuesResults[[#This Row],[Gracious Professionalism 1]]="","",COUNTIF(CoreValuesResults[[#This Row],[Gracious Professionalism 1]:[Gracious Professionalism 5]],""))</f>
        <v/>
      </c>
      <c r="R174" s="8" t="str">
        <f>IF(CoreValuesResults[[#This Row],[Gracious Professionalism 1]]="","",SUM(CoreValuesResults[[#This Row],[Gracious Professionalism 1]:[Gracious Professionalism 5]]))</f>
        <v/>
      </c>
      <c r="S174"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74" s="36">
        <f>SUM(CoreValuesResults[[#This Row],[Project CV 1 - EXPLORE]:[Engineering CV 4 - COMMUNINCATE]],CoreValuesResults[[#This Row],[Gracious Professionalism Score]])</f>
        <v>0</v>
      </c>
      <c r="U174" s="21">
        <f>IF(CoreValuesResults[[#This Row],[Team Number]]&gt;0,MIN(_xlfn.RANK.EQ(CoreValuesResults[[#This Row],[Core Values Score]],CoreValuesResults[Core Values Score],0),NumberOfTeams),NumberOfTeams+1)</f>
        <v>9</v>
      </c>
      <c r="V174" s="35"/>
      <c r="W174" s="35"/>
    </row>
    <row r="175" spans="1:23" ht="30" customHeight="1" x14ac:dyDescent="0.25">
      <c r="A175" s="8">
        <f>_xlfn.XLOOKUP(174,OfficialTeamList[Row],OfficialTeamList[Team Number],"ERROR",0)</f>
        <v>0</v>
      </c>
      <c r="B175" s="20" t="str">
        <f>_xlfn.XLOOKUP(CoreValuesResults[[#This Row],[Team Number]],OfficialTeamList[Team Number],OfficialTeamList[Team Name],"",0,)</f>
        <v/>
      </c>
      <c r="C175" s="66">
        <f>_xlfn.XLOOKUP(CoreValuesResults[[#This Row],[Team Number]],InnovationProjectResults[Team Number],InnovationProjectResults[Explore 2 (CV)])</f>
        <v>0</v>
      </c>
      <c r="D175" s="66">
        <f>_xlfn.XLOOKUP(CoreValuesResults[[#This Row],[Team Number]],InnovationProjectResults[Team Number],InnovationProjectResults[Ideate 3 (CV)])</f>
        <v>0</v>
      </c>
      <c r="E175" s="66">
        <f>_xlfn.XLOOKUP(CoreValuesResults[[#This Row],[Team Number]],InnovationProjectResults[Team Number],InnovationProjectResults[Implement 1 (CV)])</f>
        <v>0</v>
      </c>
      <c r="F175" s="66">
        <f>_xlfn.XLOOKUP(CoreValuesResults[[#This Row],[Team Number]],InnovationProjectResults[Team Number],InnovationProjectResults[Communicate 2 (CV)])</f>
        <v>0</v>
      </c>
      <c r="G175" s="66">
        <f>_xlfn.XLOOKUP(CoreValuesResults[[#This Row],[Team Number]],RobotDesignResults[Team Number],RobotDesignResults[Identify 2 (CV)])</f>
        <v>0</v>
      </c>
      <c r="H175" s="66">
        <f>_xlfn.XLOOKUP(CoreValuesResults[[#This Row],[Team Number]],RobotDesignResults[Team Number],RobotDesignResults[Iterate 3 (CV)])</f>
        <v>0</v>
      </c>
      <c r="I175" s="66">
        <f>_xlfn.XLOOKUP(CoreValuesResults[[#This Row],[Team Number]],RobotDesignResults[Team Number],RobotDesignResults[Communicate 1 (CV)])</f>
        <v>0</v>
      </c>
      <c r="J175" s="66">
        <f>_xlfn.XLOOKUP(CoreValuesResults[[#This Row],[Team Number]],RobotDesignResults[Team Number],RobotDesignResults[Communicate 2 (CV)])</f>
        <v>0</v>
      </c>
      <c r="K175" s="12"/>
      <c r="L175" s="12"/>
      <c r="M175" s="12"/>
      <c r="N175" s="12"/>
      <c r="O175" s="12"/>
      <c r="P175" s="12"/>
      <c r="Q175" s="8" t="str">
        <f>IF(CoreValuesResults[[#This Row],[Gracious Professionalism 1]]="","",COUNTIF(CoreValuesResults[[#This Row],[Gracious Professionalism 1]:[Gracious Professionalism 5]],""))</f>
        <v/>
      </c>
      <c r="R175" s="8" t="str">
        <f>IF(CoreValuesResults[[#This Row],[Gracious Professionalism 1]]="","",SUM(CoreValuesResults[[#This Row],[Gracious Professionalism 1]:[Gracious Professionalism 5]]))</f>
        <v/>
      </c>
      <c r="S175"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75" s="36">
        <f>SUM(CoreValuesResults[[#This Row],[Project CV 1 - EXPLORE]:[Engineering CV 4 - COMMUNINCATE]],CoreValuesResults[[#This Row],[Gracious Professionalism Score]])</f>
        <v>0</v>
      </c>
      <c r="U175" s="21">
        <f>IF(CoreValuesResults[[#This Row],[Team Number]]&gt;0,MIN(_xlfn.RANK.EQ(CoreValuesResults[[#This Row],[Core Values Score]],CoreValuesResults[Core Values Score],0),NumberOfTeams),NumberOfTeams+1)</f>
        <v>9</v>
      </c>
      <c r="V175" s="35"/>
      <c r="W175" s="35"/>
    </row>
    <row r="176" spans="1:23" ht="30" customHeight="1" x14ac:dyDescent="0.25">
      <c r="A176" s="8">
        <f>_xlfn.XLOOKUP(175,OfficialTeamList[Row],OfficialTeamList[Team Number],"ERROR",0)</f>
        <v>0</v>
      </c>
      <c r="B176" s="20" t="str">
        <f>_xlfn.XLOOKUP(CoreValuesResults[[#This Row],[Team Number]],OfficialTeamList[Team Number],OfficialTeamList[Team Name],"",0,)</f>
        <v/>
      </c>
      <c r="C176" s="66">
        <f>_xlfn.XLOOKUP(CoreValuesResults[[#This Row],[Team Number]],InnovationProjectResults[Team Number],InnovationProjectResults[Explore 2 (CV)])</f>
        <v>0</v>
      </c>
      <c r="D176" s="66">
        <f>_xlfn.XLOOKUP(CoreValuesResults[[#This Row],[Team Number]],InnovationProjectResults[Team Number],InnovationProjectResults[Ideate 3 (CV)])</f>
        <v>0</v>
      </c>
      <c r="E176" s="66">
        <f>_xlfn.XLOOKUP(CoreValuesResults[[#This Row],[Team Number]],InnovationProjectResults[Team Number],InnovationProjectResults[Implement 1 (CV)])</f>
        <v>0</v>
      </c>
      <c r="F176" s="66">
        <f>_xlfn.XLOOKUP(CoreValuesResults[[#This Row],[Team Number]],InnovationProjectResults[Team Number],InnovationProjectResults[Communicate 2 (CV)])</f>
        <v>0</v>
      </c>
      <c r="G176" s="66">
        <f>_xlfn.XLOOKUP(CoreValuesResults[[#This Row],[Team Number]],RobotDesignResults[Team Number],RobotDesignResults[Identify 2 (CV)])</f>
        <v>0</v>
      </c>
      <c r="H176" s="66">
        <f>_xlfn.XLOOKUP(CoreValuesResults[[#This Row],[Team Number]],RobotDesignResults[Team Number],RobotDesignResults[Iterate 3 (CV)])</f>
        <v>0</v>
      </c>
      <c r="I176" s="66">
        <f>_xlfn.XLOOKUP(CoreValuesResults[[#This Row],[Team Number]],RobotDesignResults[Team Number],RobotDesignResults[Communicate 1 (CV)])</f>
        <v>0</v>
      </c>
      <c r="J176" s="66">
        <f>_xlfn.XLOOKUP(CoreValuesResults[[#This Row],[Team Number]],RobotDesignResults[Team Number],RobotDesignResults[Communicate 2 (CV)])</f>
        <v>0</v>
      </c>
      <c r="K176" s="12"/>
      <c r="L176" s="12"/>
      <c r="M176" s="12"/>
      <c r="N176" s="12"/>
      <c r="O176" s="12"/>
      <c r="P176" s="12"/>
      <c r="Q176" s="8" t="str">
        <f>IF(CoreValuesResults[[#This Row],[Gracious Professionalism 1]]="","",COUNTIF(CoreValuesResults[[#This Row],[Gracious Professionalism 1]:[Gracious Professionalism 5]],""))</f>
        <v/>
      </c>
      <c r="R176" s="8" t="str">
        <f>IF(CoreValuesResults[[#This Row],[Gracious Professionalism 1]]="","",SUM(CoreValuesResults[[#This Row],[Gracious Professionalism 1]:[Gracious Professionalism 5]]))</f>
        <v/>
      </c>
      <c r="S176"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76" s="36">
        <f>SUM(CoreValuesResults[[#This Row],[Project CV 1 - EXPLORE]:[Engineering CV 4 - COMMUNINCATE]],CoreValuesResults[[#This Row],[Gracious Professionalism Score]])</f>
        <v>0</v>
      </c>
      <c r="U176" s="21">
        <f>IF(CoreValuesResults[[#This Row],[Team Number]]&gt;0,MIN(_xlfn.RANK.EQ(CoreValuesResults[[#This Row],[Core Values Score]],CoreValuesResults[Core Values Score],0),NumberOfTeams),NumberOfTeams+1)</f>
        <v>9</v>
      </c>
      <c r="V176" s="35"/>
      <c r="W176" s="35"/>
    </row>
    <row r="177" spans="1:23" ht="30" customHeight="1" x14ac:dyDescent="0.25">
      <c r="A177" s="8">
        <f>_xlfn.XLOOKUP(176,OfficialTeamList[Row],OfficialTeamList[Team Number],"ERROR",0)</f>
        <v>0</v>
      </c>
      <c r="B177" s="20" t="str">
        <f>_xlfn.XLOOKUP(CoreValuesResults[[#This Row],[Team Number]],OfficialTeamList[Team Number],OfficialTeamList[Team Name],"",0,)</f>
        <v/>
      </c>
      <c r="C177" s="66">
        <f>_xlfn.XLOOKUP(CoreValuesResults[[#This Row],[Team Number]],InnovationProjectResults[Team Number],InnovationProjectResults[Explore 2 (CV)])</f>
        <v>0</v>
      </c>
      <c r="D177" s="66">
        <f>_xlfn.XLOOKUP(CoreValuesResults[[#This Row],[Team Number]],InnovationProjectResults[Team Number],InnovationProjectResults[Ideate 3 (CV)])</f>
        <v>0</v>
      </c>
      <c r="E177" s="66">
        <f>_xlfn.XLOOKUP(CoreValuesResults[[#This Row],[Team Number]],InnovationProjectResults[Team Number],InnovationProjectResults[Implement 1 (CV)])</f>
        <v>0</v>
      </c>
      <c r="F177" s="66">
        <f>_xlfn.XLOOKUP(CoreValuesResults[[#This Row],[Team Number]],InnovationProjectResults[Team Number],InnovationProjectResults[Communicate 2 (CV)])</f>
        <v>0</v>
      </c>
      <c r="G177" s="66">
        <f>_xlfn.XLOOKUP(CoreValuesResults[[#This Row],[Team Number]],RobotDesignResults[Team Number],RobotDesignResults[Identify 2 (CV)])</f>
        <v>0</v>
      </c>
      <c r="H177" s="66">
        <f>_xlfn.XLOOKUP(CoreValuesResults[[#This Row],[Team Number]],RobotDesignResults[Team Number],RobotDesignResults[Iterate 3 (CV)])</f>
        <v>0</v>
      </c>
      <c r="I177" s="66">
        <f>_xlfn.XLOOKUP(CoreValuesResults[[#This Row],[Team Number]],RobotDesignResults[Team Number],RobotDesignResults[Communicate 1 (CV)])</f>
        <v>0</v>
      </c>
      <c r="J177" s="66">
        <f>_xlfn.XLOOKUP(CoreValuesResults[[#This Row],[Team Number]],RobotDesignResults[Team Number],RobotDesignResults[Communicate 2 (CV)])</f>
        <v>0</v>
      </c>
      <c r="K177" s="12"/>
      <c r="L177" s="12"/>
      <c r="M177" s="12"/>
      <c r="N177" s="12"/>
      <c r="O177" s="12"/>
      <c r="P177" s="12"/>
      <c r="Q177" s="8" t="str">
        <f>IF(CoreValuesResults[[#This Row],[Gracious Professionalism 1]]="","",COUNTIF(CoreValuesResults[[#This Row],[Gracious Professionalism 1]:[Gracious Professionalism 5]],""))</f>
        <v/>
      </c>
      <c r="R177" s="8" t="str">
        <f>IF(CoreValuesResults[[#This Row],[Gracious Professionalism 1]]="","",SUM(CoreValuesResults[[#This Row],[Gracious Professionalism 1]:[Gracious Professionalism 5]]))</f>
        <v/>
      </c>
      <c r="S177"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77" s="36">
        <f>SUM(CoreValuesResults[[#This Row],[Project CV 1 - EXPLORE]:[Engineering CV 4 - COMMUNINCATE]],CoreValuesResults[[#This Row],[Gracious Professionalism Score]])</f>
        <v>0</v>
      </c>
      <c r="U177" s="21">
        <f>IF(CoreValuesResults[[#This Row],[Team Number]]&gt;0,MIN(_xlfn.RANK.EQ(CoreValuesResults[[#This Row],[Core Values Score]],CoreValuesResults[Core Values Score],0),NumberOfTeams),NumberOfTeams+1)</f>
        <v>9</v>
      </c>
      <c r="V177" s="35"/>
      <c r="W177" s="35"/>
    </row>
    <row r="178" spans="1:23" ht="30" customHeight="1" x14ac:dyDescent="0.25">
      <c r="A178" s="8">
        <f>_xlfn.XLOOKUP(177,OfficialTeamList[Row],OfficialTeamList[Team Number],"ERROR",0)</f>
        <v>0</v>
      </c>
      <c r="B178" s="20" t="str">
        <f>_xlfn.XLOOKUP(CoreValuesResults[[#This Row],[Team Number]],OfficialTeamList[Team Number],OfficialTeamList[Team Name],"",0,)</f>
        <v/>
      </c>
      <c r="C178" s="66">
        <f>_xlfn.XLOOKUP(CoreValuesResults[[#This Row],[Team Number]],InnovationProjectResults[Team Number],InnovationProjectResults[Explore 2 (CV)])</f>
        <v>0</v>
      </c>
      <c r="D178" s="66">
        <f>_xlfn.XLOOKUP(CoreValuesResults[[#This Row],[Team Number]],InnovationProjectResults[Team Number],InnovationProjectResults[Ideate 3 (CV)])</f>
        <v>0</v>
      </c>
      <c r="E178" s="66">
        <f>_xlfn.XLOOKUP(CoreValuesResults[[#This Row],[Team Number]],InnovationProjectResults[Team Number],InnovationProjectResults[Implement 1 (CV)])</f>
        <v>0</v>
      </c>
      <c r="F178" s="66">
        <f>_xlfn.XLOOKUP(CoreValuesResults[[#This Row],[Team Number]],InnovationProjectResults[Team Number],InnovationProjectResults[Communicate 2 (CV)])</f>
        <v>0</v>
      </c>
      <c r="G178" s="66">
        <f>_xlfn.XLOOKUP(CoreValuesResults[[#This Row],[Team Number]],RobotDesignResults[Team Number],RobotDesignResults[Identify 2 (CV)])</f>
        <v>0</v>
      </c>
      <c r="H178" s="66">
        <f>_xlfn.XLOOKUP(CoreValuesResults[[#This Row],[Team Number]],RobotDesignResults[Team Number],RobotDesignResults[Iterate 3 (CV)])</f>
        <v>0</v>
      </c>
      <c r="I178" s="66">
        <f>_xlfn.XLOOKUP(CoreValuesResults[[#This Row],[Team Number]],RobotDesignResults[Team Number],RobotDesignResults[Communicate 1 (CV)])</f>
        <v>0</v>
      </c>
      <c r="J178" s="66">
        <f>_xlfn.XLOOKUP(CoreValuesResults[[#This Row],[Team Number]],RobotDesignResults[Team Number],RobotDesignResults[Communicate 2 (CV)])</f>
        <v>0</v>
      </c>
      <c r="K178" s="12"/>
      <c r="L178" s="12"/>
      <c r="M178" s="12"/>
      <c r="N178" s="12"/>
      <c r="O178" s="12"/>
      <c r="P178" s="12"/>
      <c r="Q178" s="8" t="str">
        <f>IF(CoreValuesResults[[#This Row],[Gracious Professionalism 1]]="","",COUNTIF(CoreValuesResults[[#This Row],[Gracious Professionalism 1]:[Gracious Professionalism 5]],""))</f>
        <v/>
      </c>
      <c r="R178" s="8" t="str">
        <f>IF(CoreValuesResults[[#This Row],[Gracious Professionalism 1]]="","",SUM(CoreValuesResults[[#This Row],[Gracious Professionalism 1]:[Gracious Professionalism 5]]))</f>
        <v/>
      </c>
      <c r="S178"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78" s="36">
        <f>SUM(CoreValuesResults[[#This Row],[Project CV 1 - EXPLORE]:[Engineering CV 4 - COMMUNINCATE]],CoreValuesResults[[#This Row],[Gracious Professionalism Score]])</f>
        <v>0</v>
      </c>
      <c r="U178" s="21">
        <f>IF(CoreValuesResults[[#This Row],[Team Number]]&gt;0,MIN(_xlfn.RANK.EQ(CoreValuesResults[[#This Row],[Core Values Score]],CoreValuesResults[Core Values Score],0),NumberOfTeams),NumberOfTeams+1)</f>
        <v>9</v>
      </c>
      <c r="V178" s="35"/>
      <c r="W178" s="35"/>
    </row>
    <row r="179" spans="1:23" ht="30" customHeight="1" x14ac:dyDescent="0.25">
      <c r="A179" s="8">
        <f>_xlfn.XLOOKUP(178,OfficialTeamList[Row],OfficialTeamList[Team Number],"ERROR",0)</f>
        <v>0</v>
      </c>
      <c r="B179" s="20" t="str">
        <f>_xlfn.XLOOKUP(CoreValuesResults[[#This Row],[Team Number]],OfficialTeamList[Team Number],OfficialTeamList[Team Name],"",0,)</f>
        <v/>
      </c>
      <c r="C179" s="66">
        <f>_xlfn.XLOOKUP(CoreValuesResults[[#This Row],[Team Number]],InnovationProjectResults[Team Number],InnovationProjectResults[Explore 2 (CV)])</f>
        <v>0</v>
      </c>
      <c r="D179" s="66">
        <f>_xlfn.XLOOKUP(CoreValuesResults[[#This Row],[Team Number]],InnovationProjectResults[Team Number],InnovationProjectResults[Ideate 3 (CV)])</f>
        <v>0</v>
      </c>
      <c r="E179" s="66">
        <f>_xlfn.XLOOKUP(CoreValuesResults[[#This Row],[Team Number]],InnovationProjectResults[Team Number],InnovationProjectResults[Implement 1 (CV)])</f>
        <v>0</v>
      </c>
      <c r="F179" s="66">
        <f>_xlfn.XLOOKUP(CoreValuesResults[[#This Row],[Team Number]],InnovationProjectResults[Team Number],InnovationProjectResults[Communicate 2 (CV)])</f>
        <v>0</v>
      </c>
      <c r="G179" s="66">
        <f>_xlfn.XLOOKUP(CoreValuesResults[[#This Row],[Team Number]],RobotDesignResults[Team Number],RobotDesignResults[Identify 2 (CV)])</f>
        <v>0</v>
      </c>
      <c r="H179" s="66">
        <f>_xlfn.XLOOKUP(CoreValuesResults[[#This Row],[Team Number]],RobotDesignResults[Team Number],RobotDesignResults[Iterate 3 (CV)])</f>
        <v>0</v>
      </c>
      <c r="I179" s="66">
        <f>_xlfn.XLOOKUP(CoreValuesResults[[#This Row],[Team Number]],RobotDesignResults[Team Number],RobotDesignResults[Communicate 1 (CV)])</f>
        <v>0</v>
      </c>
      <c r="J179" s="66">
        <f>_xlfn.XLOOKUP(CoreValuesResults[[#This Row],[Team Number]],RobotDesignResults[Team Number],RobotDesignResults[Communicate 2 (CV)])</f>
        <v>0</v>
      </c>
      <c r="K179" s="12"/>
      <c r="L179" s="12"/>
      <c r="M179" s="12"/>
      <c r="N179" s="12"/>
      <c r="O179" s="12"/>
      <c r="P179" s="12"/>
      <c r="Q179" s="8" t="str">
        <f>IF(CoreValuesResults[[#This Row],[Gracious Professionalism 1]]="","",COUNTIF(CoreValuesResults[[#This Row],[Gracious Professionalism 1]:[Gracious Professionalism 5]],""))</f>
        <v/>
      </c>
      <c r="R179" s="8" t="str">
        <f>IF(CoreValuesResults[[#This Row],[Gracious Professionalism 1]]="","",SUM(CoreValuesResults[[#This Row],[Gracious Professionalism 1]:[Gracious Professionalism 5]]))</f>
        <v/>
      </c>
      <c r="S179"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79" s="36">
        <f>SUM(CoreValuesResults[[#This Row],[Project CV 1 - EXPLORE]:[Engineering CV 4 - COMMUNINCATE]],CoreValuesResults[[#This Row],[Gracious Professionalism Score]])</f>
        <v>0</v>
      </c>
      <c r="U179" s="21">
        <f>IF(CoreValuesResults[[#This Row],[Team Number]]&gt;0,MIN(_xlfn.RANK.EQ(CoreValuesResults[[#This Row],[Core Values Score]],CoreValuesResults[Core Values Score],0),NumberOfTeams),NumberOfTeams+1)</f>
        <v>9</v>
      </c>
      <c r="V179" s="35"/>
      <c r="W179" s="35"/>
    </row>
    <row r="180" spans="1:23" ht="30" customHeight="1" x14ac:dyDescent="0.25">
      <c r="A180" s="8">
        <f>_xlfn.XLOOKUP(179,OfficialTeamList[Row],OfficialTeamList[Team Number],"ERROR",0)</f>
        <v>0</v>
      </c>
      <c r="B180" s="20" t="str">
        <f>_xlfn.XLOOKUP(CoreValuesResults[[#This Row],[Team Number]],OfficialTeamList[Team Number],OfficialTeamList[Team Name],"",0,)</f>
        <v/>
      </c>
      <c r="C180" s="66">
        <f>_xlfn.XLOOKUP(CoreValuesResults[[#This Row],[Team Number]],InnovationProjectResults[Team Number],InnovationProjectResults[Explore 2 (CV)])</f>
        <v>0</v>
      </c>
      <c r="D180" s="66">
        <f>_xlfn.XLOOKUP(CoreValuesResults[[#This Row],[Team Number]],InnovationProjectResults[Team Number],InnovationProjectResults[Ideate 3 (CV)])</f>
        <v>0</v>
      </c>
      <c r="E180" s="66">
        <f>_xlfn.XLOOKUP(CoreValuesResults[[#This Row],[Team Number]],InnovationProjectResults[Team Number],InnovationProjectResults[Implement 1 (CV)])</f>
        <v>0</v>
      </c>
      <c r="F180" s="66">
        <f>_xlfn.XLOOKUP(CoreValuesResults[[#This Row],[Team Number]],InnovationProjectResults[Team Number],InnovationProjectResults[Communicate 2 (CV)])</f>
        <v>0</v>
      </c>
      <c r="G180" s="66">
        <f>_xlfn.XLOOKUP(CoreValuesResults[[#This Row],[Team Number]],RobotDesignResults[Team Number],RobotDesignResults[Identify 2 (CV)])</f>
        <v>0</v>
      </c>
      <c r="H180" s="66">
        <f>_xlfn.XLOOKUP(CoreValuesResults[[#This Row],[Team Number]],RobotDesignResults[Team Number],RobotDesignResults[Iterate 3 (CV)])</f>
        <v>0</v>
      </c>
      <c r="I180" s="66">
        <f>_xlfn.XLOOKUP(CoreValuesResults[[#This Row],[Team Number]],RobotDesignResults[Team Number],RobotDesignResults[Communicate 1 (CV)])</f>
        <v>0</v>
      </c>
      <c r="J180" s="66">
        <f>_xlfn.XLOOKUP(CoreValuesResults[[#This Row],[Team Number]],RobotDesignResults[Team Number],RobotDesignResults[Communicate 2 (CV)])</f>
        <v>0</v>
      </c>
      <c r="K180" s="12"/>
      <c r="L180" s="12"/>
      <c r="M180" s="12"/>
      <c r="N180" s="12"/>
      <c r="O180" s="12"/>
      <c r="P180" s="12"/>
      <c r="Q180" s="8" t="str">
        <f>IF(CoreValuesResults[[#This Row],[Gracious Professionalism 1]]="","",COUNTIF(CoreValuesResults[[#This Row],[Gracious Professionalism 1]:[Gracious Professionalism 5]],""))</f>
        <v/>
      </c>
      <c r="R180" s="8" t="str">
        <f>IF(CoreValuesResults[[#This Row],[Gracious Professionalism 1]]="","",SUM(CoreValuesResults[[#This Row],[Gracious Professionalism 1]:[Gracious Professionalism 5]]))</f>
        <v/>
      </c>
      <c r="S180"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80" s="36">
        <f>SUM(CoreValuesResults[[#This Row],[Project CV 1 - EXPLORE]:[Engineering CV 4 - COMMUNINCATE]],CoreValuesResults[[#This Row],[Gracious Professionalism Score]])</f>
        <v>0</v>
      </c>
      <c r="U180" s="21">
        <f>IF(CoreValuesResults[[#This Row],[Team Number]]&gt;0,MIN(_xlfn.RANK.EQ(CoreValuesResults[[#This Row],[Core Values Score]],CoreValuesResults[Core Values Score],0),NumberOfTeams),NumberOfTeams+1)</f>
        <v>9</v>
      </c>
      <c r="V180" s="35"/>
      <c r="W180" s="35"/>
    </row>
    <row r="181" spans="1:23" ht="30" customHeight="1" x14ac:dyDescent="0.25">
      <c r="A181" s="8">
        <f>_xlfn.XLOOKUP(180,OfficialTeamList[Row],OfficialTeamList[Team Number],"ERROR",0)</f>
        <v>0</v>
      </c>
      <c r="B181" s="20" t="str">
        <f>_xlfn.XLOOKUP(CoreValuesResults[[#This Row],[Team Number]],OfficialTeamList[Team Number],OfficialTeamList[Team Name],"",0,)</f>
        <v/>
      </c>
      <c r="C181" s="66">
        <f>_xlfn.XLOOKUP(CoreValuesResults[[#This Row],[Team Number]],InnovationProjectResults[Team Number],InnovationProjectResults[Explore 2 (CV)])</f>
        <v>0</v>
      </c>
      <c r="D181" s="66">
        <f>_xlfn.XLOOKUP(CoreValuesResults[[#This Row],[Team Number]],InnovationProjectResults[Team Number],InnovationProjectResults[Ideate 3 (CV)])</f>
        <v>0</v>
      </c>
      <c r="E181" s="66">
        <f>_xlfn.XLOOKUP(CoreValuesResults[[#This Row],[Team Number]],InnovationProjectResults[Team Number],InnovationProjectResults[Implement 1 (CV)])</f>
        <v>0</v>
      </c>
      <c r="F181" s="66">
        <f>_xlfn.XLOOKUP(CoreValuesResults[[#This Row],[Team Number]],InnovationProjectResults[Team Number],InnovationProjectResults[Communicate 2 (CV)])</f>
        <v>0</v>
      </c>
      <c r="G181" s="66">
        <f>_xlfn.XLOOKUP(CoreValuesResults[[#This Row],[Team Number]],RobotDesignResults[Team Number],RobotDesignResults[Identify 2 (CV)])</f>
        <v>0</v>
      </c>
      <c r="H181" s="66">
        <f>_xlfn.XLOOKUP(CoreValuesResults[[#This Row],[Team Number]],RobotDesignResults[Team Number],RobotDesignResults[Iterate 3 (CV)])</f>
        <v>0</v>
      </c>
      <c r="I181" s="66">
        <f>_xlfn.XLOOKUP(CoreValuesResults[[#This Row],[Team Number]],RobotDesignResults[Team Number],RobotDesignResults[Communicate 1 (CV)])</f>
        <v>0</v>
      </c>
      <c r="J181" s="66">
        <f>_xlfn.XLOOKUP(CoreValuesResults[[#This Row],[Team Number]],RobotDesignResults[Team Number],RobotDesignResults[Communicate 2 (CV)])</f>
        <v>0</v>
      </c>
      <c r="K181" s="12"/>
      <c r="L181" s="12"/>
      <c r="M181" s="12"/>
      <c r="N181" s="12"/>
      <c r="O181" s="12"/>
      <c r="P181" s="12"/>
      <c r="Q181" s="8" t="str">
        <f>IF(CoreValuesResults[[#This Row],[Gracious Professionalism 1]]="","",COUNTIF(CoreValuesResults[[#This Row],[Gracious Professionalism 1]:[Gracious Professionalism 5]],""))</f>
        <v/>
      </c>
      <c r="R181" s="8" t="str">
        <f>IF(CoreValuesResults[[#This Row],[Gracious Professionalism 1]]="","",SUM(CoreValuesResults[[#This Row],[Gracious Professionalism 1]:[Gracious Professionalism 5]]))</f>
        <v/>
      </c>
      <c r="S181"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81" s="36">
        <f>SUM(CoreValuesResults[[#This Row],[Project CV 1 - EXPLORE]:[Engineering CV 4 - COMMUNINCATE]],CoreValuesResults[[#This Row],[Gracious Professionalism Score]])</f>
        <v>0</v>
      </c>
      <c r="U181" s="21">
        <f>IF(CoreValuesResults[[#This Row],[Team Number]]&gt;0,MIN(_xlfn.RANK.EQ(CoreValuesResults[[#This Row],[Core Values Score]],CoreValuesResults[Core Values Score],0),NumberOfTeams),NumberOfTeams+1)</f>
        <v>9</v>
      </c>
      <c r="V181" s="35"/>
      <c r="W181" s="35"/>
    </row>
    <row r="182" spans="1:23" ht="30" customHeight="1" x14ac:dyDescent="0.25">
      <c r="A182" s="8">
        <f>_xlfn.XLOOKUP(181,OfficialTeamList[Row],OfficialTeamList[Team Number],"ERROR",0)</f>
        <v>0</v>
      </c>
      <c r="B182" s="20" t="str">
        <f>_xlfn.XLOOKUP(CoreValuesResults[[#This Row],[Team Number]],OfficialTeamList[Team Number],OfficialTeamList[Team Name],"",0,)</f>
        <v/>
      </c>
      <c r="C182" s="66">
        <f>_xlfn.XLOOKUP(CoreValuesResults[[#This Row],[Team Number]],InnovationProjectResults[Team Number],InnovationProjectResults[Explore 2 (CV)])</f>
        <v>0</v>
      </c>
      <c r="D182" s="66">
        <f>_xlfn.XLOOKUP(CoreValuesResults[[#This Row],[Team Number]],InnovationProjectResults[Team Number],InnovationProjectResults[Ideate 3 (CV)])</f>
        <v>0</v>
      </c>
      <c r="E182" s="66">
        <f>_xlfn.XLOOKUP(CoreValuesResults[[#This Row],[Team Number]],InnovationProjectResults[Team Number],InnovationProjectResults[Implement 1 (CV)])</f>
        <v>0</v>
      </c>
      <c r="F182" s="66">
        <f>_xlfn.XLOOKUP(CoreValuesResults[[#This Row],[Team Number]],InnovationProjectResults[Team Number],InnovationProjectResults[Communicate 2 (CV)])</f>
        <v>0</v>
      </c>
      <c r="G182" s="66">
        <f>_xlfn.XLOOKUP(CoreValuesResults[[#This Row],[Team Number]],RobotDesignResults[Team Number],RobotDesignResults[Identify 2 (CV)])</f>
        <v>0</v>
      </c>
      <c r="H182" s="66">
        <f>_xlfn.XLOOKUP(CoreValuesResults[[#This Row],[Team Number]],RobotDesignResults[Team Number],RobotDesignResults[Iterate 3 (CV)])</f>
        <v>0</v>
      </c>
      <c r="I182" s="66">
        <f>_xlfn.XLOOKUP(CoreValuesResults[[#This Row],[Team Number]],RobotDesignResults[Team Number],RobotDesignResults[Communicate 1 (CV)])</f>
        <v>0</v>
      </c>
      <c r="J182" s="66">
        <f>_xlfn.XLOOKUP(CoreValuesResults[[#This Row],[Team Number]],RobotDesignResults[Team Number],RobotDesignResults[Communicate 2 (CV)])</f>
        <v>0</v>
      </c>
      <c r="K182" s="12"/>
      <c r="L182" s="12"/>
      <c r="M182" s="12"/>
      <c r="N182" s="12"/>
      <c r="O182" s="12"/>
      <c r="P182" s="12"/>
      <c r="Q182" s="8" t="str">
        <f>IF(CoreValuesResults[[#This Row],[Gracious Professionalism 1]]="","",COUNTIF(CoreValuesResults[[#This Row],[Gracious Professionalism 1]:[Gracious Professionalism 5]],""))</f>
        <v/>
      </c>
      <c r="R182" s="8" t="str">
        <f>IF(CoreValuesResults[[#This Row],[Gracious Professionalism 1]]="","",SUM(CoreValuesResults[[#This Row],[Gracious Professionalism 1]:[Gracious Professionalism 5]]))</f>
        <v/>
      </c>
      <c r="S182"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82" s="36">
        <f>SUM(CoreValuesResults[[#This Row],[Project CV 1 - EXPLORE]:[Engineering CV 4 - COMMUNINCATE]],CoreValuesResults[[#This Row],[Gracious Professionalism Score]])</f>
        <v>0</v>
      </c>
      <c r="U182" s="21">
        <f>IF(CoreValuesResults[[#This Row],[Team Number]]&gt;0,MIN(_xlfn.RANK.EQ(CoreValuesResults[[#This Row],[Core Values Score]],CoreValuesResults[Core Values Score],0),NumberOfTeams),NumberOfTeams+1)</f>
        <v>9</v>
      </c>
      <c r="V182" s="35"/>
      <c r="W182" s="35"/>
    </row>
    <row r="183" spans="1:23" ht="30" customHeight="1" x14ac:dyDescent="0.25">
      <c r="A183" s="8">
        <f>_xlfn.XLOOKUP(182,OfficialTeamList[Row],OfficialTeamList[Team Number],"ERROR",0)</f>
        <v>0</v>
      </c>
      <c r="B183" s="20" t="str">
        <f>_xlfn.XLOOKUP(CoreValuesResults[[#This Row],[Team Number]],OfficialTeamList[Team Number],OfficialTeamList[Team Name],"",0,)</f>
        <v/>
      </c>
      <c r="C183" s="66">
        <f>_xlfn.XLOOKUP(CoreValuesResults[[#This Row],[Team Number]],InnovationProjectResults[Team Number],InnovationProjectResults[Explore 2 (CV)])</f>
        <v>0</v>
      </c>
      <c r="D183" s="66">
        <f>_xlfn.XLOOKUP(CoreValuesResults[[#This Row],[Team Number]],InnovationProjectResults[Team Number],InnovationProjectResults[Ideate 3 (CV)])</f>
        <v>0</v>
      </c>
      <c r="E183" s="66">
        <f>_xlfn.XLOOKUP(CoreValuesResults[[#This Row],[Team Number]],InnovationProjectResults[Team Number],InnovationProjectResults[Implement 1 (CV)])</f>
        <v>0</v>
      </c>
      <c r="F183" s="66">
        <f>_xlfn.XLOOKUP(CoreValuesResults[[#This Row],[Team Number]],InnovationProjectResults[Team Number],InnovationProjectResults[Communicate 2 (CV)])</f>
        <v>0</v>
      </c>
      <c r="G183" s="66">
        <f>_xlfn.XLOOKUP(CoreValuesResults[[#This Row],[Team Number]],RobotDesignResults[Team Number],RobotDesignResults[Identify 2 (CV)])</f>
        <v>0</v>
      </c>
      <c r="H183" s="66">
        <f>_xlfn.XLOOKUP(CoreValuesResults[[#This Row],[Team Number]],RobotDesignResults[Team Number],RobotDesignResults[Iterate 3 (CV)])</f>
        <v>0</v>
      </c>
      <c r="I183" s="66">
        <f>_xlfn.XLOOKUP(CoreValuesResults[[#This Row],[Team Number]],RobotDesignResults[Team Number],RobotDesignResults[Communicate 1 (CV)])</f>
        <v>0</v>
      </c>
      <c r="J183" s="66">
        <f>_xlfn.XLOOKUP(CoreValuesResults[[#This Row],[Team Number]],RobotDesignResults[Team Number],RobotDesignResults[Communicate 2 (CV)])</f>
        <v>0</v>
      </c>
      <c r="K183" s="12"/>
      <c r="L183" s="12"/>
      <c r="M183" s="12"/>
      <c r="N183" s="12"/>
      <c r="O183" s="12"/>
      <c r="P183" s="12"/>
      <c r="Q183" s="8" t="str">
        <f>IF(CoreValuesResults[[#This Row],[Gracious Professionalism 1]]="","",COUNTIF(CoreValuesResults[[#This Row],[Gracious Professionalism 1]:[Gracious Professionalism 5]],""))</f>
        <v/>
      </c>
      <c r="R183" s="8" t="str">
        <f>IF(CoreValuesResults[[#This Row],[Gracious Professionalism 1]]="","",SUM(CoreValuesResults[[#This Row],[Gracious Professionalism 1]:[Gracious Professionalism 5]]))</f>
        <v/>
      </c>
      <c r="S183"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83" s="36">
        <f>SUM(CoreValuesResults[[#This Row],[Project CV 1 - EXPLORE]:[Engineering CV 4 - COMMUNINCATE]],CoreValuesResults[[#This Row],[Gracious Professionalism Score]])</f>
        <v>0</v>
      </c>
      <c r="U183" s="21">
        <f>IF(CoreValuesResults[[#This Row],[Team Number]]&gt;0,MIN(_xlfn.RANK.EQ(CoreValuesResults[[#This Row],[Core Values Score]],CoreValuesResults[Core Values Score],0),NumberOfTeams),NumberOfTeams+1)</f>
        <v>9</v>
      </c>
      <c r="V183" s="35"/>
      <c r="W183" s="35"/>
    </row>
    <row r="184" spans="1:23" ht="30" customHeight="1" x14ac:dyDescent="0.25">
      <c r="A184" s="8">
        <f>_xlfn.XLOOKUP(183,OfficialTeamList[Row],OfficialTeamList[Team Number],"ERROR",0)</f>
        <v>0</v>
      </c>
      <c r="B184" s="20" t="str">
        <f>_xlfn.XLOOKUP(CoreValuesResults[[#This Row],[Team Number]],OfficialTeamList[Team Number],OfficialTeamList[Team Name],"",0,)</f>
        <v/>
      </c>
      <c r="C184" s="66">
        <f>_xlfn.XLOOKUP(CoreValuesResults[[#This Row],[Team Number]],InnovationProjectResults[Team Number],InnovationProjectResults[Explore 2 (CV)])</f>
        <v>0</v>
      </c>
      <c r="D184" s="66">
        <f>_xlfn.XLOOKUP(CoreValuesResults[[#This Row],[Team Number]],InnovationProjectResults[Team Number],InnovationProjectResults[Ideate 3 (CV)])</f>
        <v>0</v>
      </c>
      <c r="E184" s="66">
        <f>_xlfn.XLOOKUP(CoreValuesResults[[#This Row],[Team Number]],InnovationProjectResults[Team Number],InnovationProjectResults[Implement 1 (CV)])</f>
        <v>0</v>
      </c>
      <c r="F184" s="66">
        <f>_xlfn.XLOOKUP(CoreValuesResults[[#This Row],[Team Number]],InnovationProjectResults[Team Number],InnovationProjectResults[Communicate 2 (CV)])</f>
        <v>0</v>
      </c>
      <c r="G184" s="66">
        <f>_xlfn.XLOOKUP(CoreValuesResults[[#This Row],[Team Number]],RobotDesignResults[Team Number],RobotDesignResults[Identify 2 (CV)])</f>
        <v>0</v>
      </c>
      <c r="H184" s="66">
        <f>_xlfn.XLOOKUP(CoreValuesResults[[#This Row],[Team Number]],RobotDesignResults[Team Number],RobotDesignResults[Iterate 3 (CV)])</f>
        <v>0</v>
      </c>
      <c r="I184" s="66">
        <f>_xlfn.XLOOKUP(CoreValuesResults[[#This Row],[Team Number]],RobotDesignResults[Team Number],RobotDesignResults[Communicate 1 (CV)])</f>
        <v>0</v>
      </c>
      <c r="J184" s="66">
        <f>_xlfn.XLOOKUP(CoreValuesResults[[#This Row],[Team Number]],RobotDesignResults[Team Number],RobotDesignResults[Communicate 2 (CV)])</f>
        <v>0</v>
      </c>
      <c r="K184" s="12"/>
      <c r="L184" s="12"/>
      <c r="M184" s="12"/>
      <c r="N184" s="12"/>
      <c r="O184" s="12"/>
      <c r="P184" s="12"/>
      <c r="Q184" s="8" t="str">
        <f>IF(CoreValuesResults[[#This Row],[Gracious Professionalism 1]]="","",COUNTIF(CoreValuesResults[[#This Row],[Gracious Professionalism 1]:[Gracious Professionalism 5]],""))</f>
        <v/>
      </c>
      <c r="R184" s="8" t="str">
        <f>IF(CoreValuesResults[[#This Row],[Gracious Professionalism 1]]="","",SUM(CoreValuesResults[[#This Row],[Gracious Professionalism 1]:[Gracious Professionalism 5]]))</f>
        <v/>
      </c>
      <c r="S184"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84" s="36">
        <f>SUM(CoreValuesResults[[#This Row],[Project CV 1 - EXPLORE]:[Engineering CV 4 - COMMUNINCATE]],CoreValuesResults[[#This Row],[Gracious Professionalism Score]])</f>
        <v>0</v>
      </c>
      <c r="U184" s="21">
        <f>IF(CoreValuesResults[[#This Row],[Team Number]]&gt;0,MIN(_xlfn.RANK.EQ(CoreValuesResults[[#This Row],[Core Values Score]],CoreValuesResults[Core Values Score],0),NumberOfTeams),NumberOfTeams+1)</f>
        <v>9</v>
      </c>
      <c r="V184" s="35"/>
      <c r="W184" s="35"/>
    </row>
    <row r="185" spans="1:23" ht="30" customHeight="1" x14ac:dyDescent="0.25">
      <c r="A185" s="8">
        <f>_xlfn.XLOOKUP(184,OfficialTeamList[Row],OfficialTeamList[Team Number],"ERROR",0)</f>
        <v>0</v>
      </c>
      <c r="B185" s="20" t="str">
        <f>_xlfn.XLOOKUP(CoreValuesResults[[#This Row],[Team Number]],OfficialTeamList[Team Number],OfficialTeamList[Team Name],"",0,)</f>
        <v/>
      </c>
      <c r="C185" s="66">
        <f>_xlfn.XLOOKUP(CoreValuesResults[[#This Row],[Team Number]],InnovationProjectResults[Team Number],InnovationProjectResults[Explore 2 (CV)])</f>
        <v>0</v>
      </c>
      <c r="D185" s="66">
        <f>_xlfn.XLOOKUP(CoreValuesResults[[#This Row],[Team Number]],InnovationProjectResults[Team Number],InnovationProjectResults[Ideate 3 (CV)])</f>
        <v>0</v>
      </c>
      <c r="E185" s="66">
        <f>_xlfn.XLOOKUP(CoreValuesResults[[#This Row],[Team Number]],InnovationProjectResults[Team Number],InnovationProjectResults[Implement 1 (CV)])</f>
        <v>0</v>
      </c>
      <c r="F185" s="66">
        <f>_xlfn.XLOOKUP(CoreValuesResults[[#This Row],[Team Number]],InnovationProjectResults[Team Number],InnovationProjectResults[Communicate 2 (CV)])</f>
        <v>0</v>
      </c>
      <c r="G185" s="66">
        <f>_xlfn.XLOOKUP(CoreValuesResults[[#This Row],[Team Number]],RobotDesignResults[Team Number],RobotDesignResults[Identify 2 (CV)])</f>
        <v>0</v>
      </c>
      <c r="H185" s="66">
        <f>_xlfn.XLOOKUP(CoreValuesResults[[#This Row],[Team Number]],RobotDesignResults[Team Number],RobotDesignResults[Iterate 3 (CV)])</f>
        <v>0</v>
      </c>
      <c r="I185" s="66">
        <f>_xlfn.XLOOKUP(CoreValuesResults[[#This Row],[Team Number]],RobotDesignResults[Team Number],RobotDesignResults[Communicate 1 (CV)])</f>
        <v>0</v>
      </c>
      <c r="J185" s="66">
        <f>_xlfn.XLOOKUP(CoreValuesResults[[#This Row],[Team Number]],RobotDesignResults[Team Number],RobotDesignResults[Communicate 2 (CV)])</f>
        <v>0</v>
      </c>
      <c r="K185" s="12"/>
      <c r="L185" s="12"/>
      <c r="M185" s="12"/>
      <c r="N185" s="12"/>
      <c r="O185" s="12"/>
      <c r="P185" s="12"/>
      <c r="Q185" s="8" t="str">
        <f>IF(CoreValuesResults[[#This Row],[Gracious Professionalism 1]]="","",COUNTIF(CoreValuesResults[[#This Row],[Gracious Professionalism 1]:[Gracious Professionalism 5]],""))</f>
        <v/>
      </c>
      <c r="R185" s="8" t="str">
        <f>IF(CoreValuesResults[[#This Row],[Gracious Professionalism 1]]="","",SUM(CoreValuesResults[[#This Row],[Gracious Professionalism 1]:[Gracious Professionalism 5]]))</f>
        <v/>
      </c>
      <c r="S185"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85" s="36">
        <f>SUM(CoreValuesResults[[#This Row],[Project CV 1 - EXPLORE]:[Engineering CV 4 - COMMUNINCATE]],CoreValuesResults[[#This Row],[Gracious Professionalism Score]])</f>
        <v>0</v>
      </c>
      <c r="U185" s="21">
        <f>IF(CoreValuesResults[[#This Row],[Team Number]]&gt;0,MIN(_xlfn.RANK.EQ(CoreValuesResults[[#This Row],[Core Values Score]],CoreValuesResults[Core Values Score],0),NumberOfTeams),NumberOfTeams+1)</f>
        <v>9</v>
      </c>
      <c r="V185" s="35"/>
      <c r="W185" s="35"/>
    </row>
    <row r="186" spans="1:23" ht="30" customHeight="1" x14ac:dyDescent="0.25">
      <c r="A186" s="8">
        <f>_xlfn.XLOOKUP(185,OfficialTeamList[Row],OfficialTeamList[Team Number],"ERROR",0)</f>
        <v>0</v>
      </c>
      <c r="B186" s="20" t="str">
        <f>_xlfn.XLOOKUP(CoreValuesResults[[#This Row],[Team Number]],OfficialTeamList[Team Number],OfficialTeamList[Team Name],"",0,)</f>
        <v/>
      </c>
      <c r="C186" s="66">
        <f>_xlfn.XLOOKUP(CoreValuesResults[[#This Row],[Team Number]],InnovationProjectResults[Team Number],InnovationProjectResults[Explore 2 (CV)])</f>
        <v>0</v>
      </c>
      <c r="D186" s="66">
        <f>_xlfn.XLOOKUP(CoreValuesResults[[#This Row],[Team Number]],InnovationProjectResults[Team Number],InnovationProjectResults[Ideate 3 (CV)])</f>
        <v>0</v>
      </c>
      <c r="E186" s="66">
        <f>_xlfn.XLOOKUP(CoreValuesResults[[#This Row],[Team Number]],InnovationProjectResults[Team Number],InnovationProjectResults[Implement 1 (CV)])</f>
        <v>0</v>
      </c>
      <c r="F186" s="66">
        <f>_xlfn.XLOOKUP(CoreValuesResults[[#This Row],[Team Number]],InnovationProjectResults[Team Number],InnovationProjectResults[Communicate 2 (CV)])</f>
        <v>0</v>
      </c>
      <c r="G186" s="66">
        <f>_xlfn.XLOOKUP(CoreValuesResults[[#This Row],[Team Number]],RobotDesignResults[Team Number],RobotDesignResults[Identify 2 (CV)])</f>
        <v>0</v>
      </c>
      <c r="H186" s="66">
        <f>_xlfn.XLOOKUP(CoreValuesResults[[#This Row],[Team Number]],RobotDesignResults[Team Number],RobotDesignResults[Iterate 3 (CV)])</f>
        <v>0</v>
      </c>
      <c r="I186" s="66">
        <f>_xlfn.XLOOKUP(CoreValuesResults[[#This Row],[Team Number]],RobotDesignResults[Team Number],RobotDesignResults[Communicate 1 (CV)])</f>
        <v>0</v>
      </c>
      <c r="J186" s="66">
        <f>_xlfn.XLOOKUP(CoreValuesResults[[#This Row],[Team Number]],RobotDesignResults[Team Number],RobotDesignResults[Communicate 2 (CV)])</f>
        <v>0</v>
      </c>
      <c r="K186" s="12"/>
      <c r="L186" s="12"/>
      <c r="M186" s="12"/>
      <c r="N186" s="12"/>
      <c r="O186" s="12"/>
      <c r="P186" s="12"/>
      <c r="Q186" s="8" t="str">
        <f>IF(CoreValuesResults[[#This Row],[Gracious Professionalism 1]]="","",COUNTIF(CoreValuesResults[[#This Row],[Gracious Professionalism 1]:[Gracious Professionalism 5]],""))</f>
        <v/>
      </c>
      <c r="R186" s="8" t="str">
        <f>IF(CoreValuesResults[[#This Row],[Gracious Professionalism 1]]="","",SUM(CoreValuesResults[[#This Row],[Gracious Professionalism 1]:[Gracious Professionalism 5]]))</f>
        <v/>
      </c>
      <c r="S186"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86" s="36">
        <f>SUM(CoreValuesResults[[#This Row],[Project CV 1 - EXPLORE]:[Engineering CV 4 - COMMUNINCATE]],CoreValuesResults[[#This Row],[Gracious Professionalism Score]])</f>
        <v>0</v>
      </c>
      <c r="U186" s="21">
        <f>IF(CoreValuesResults[[#This Row],[Team Number]]&gt;0,MIN(_xlfn.RANK.EQ(CoreValuesResults[[#This Row],[Core Values Score]],CoreValuesResults[Core Values Score],0),NumberOfTeams),NumberOfTeams+1)</f>
        <v>9</v>
      </c>
      <c r="V186" s="35"/>
      <c r="W186" s="35"/>
    </row>
    <row r="187" spans="1:23" ht="30" customHeight="1" x14ac:dyDescent="0.25">
      <c r="A187" s="8">
        <f>_xlfn.XLOOKUP(186,OfficialTeamList[Row],OfficialTeamList[Team Number],"ERROR",0)</f>
        <v>0</v>
      </c>
      <c r="B187" s="20" t="str">
        <f>_xlfn.XLOOKUP(CoreValuesResults[[#This Row],[Team Number]],OfficialTeamList[Team Number],OfficialTeamList[Team Name],"",0,)</f>
        <v/>
      </c>
      <c r="C187" s="66">
        <f>_xlfn.XLOOKUP(CoreValuesResults[[#This Row],[Team Number]],InnovationProjectResults[Team Number],InnovationProjectResults[Explore 2 (CV)])</f>
        <v>0</v>
      </c>
      <c r="D187" s="66">
        <f>_xlfn.XLOOKUP(CoreValuesResults[[#This Row],[Team Number]],InnovationProjectResults[Team Number],InnovationProjectResults[Ideate 3 (CV)])</f>
        <v>0</v>
      </c>
      <c r="E187" s="66">
        <f>_xlfn.XLOOKUP(CoreValuesResults[[#This Row],[Team Number]],InnovationProjectResults[Team Number],InnovationProjectResults[Implement 1 (CV)])</f>
        <v>0</v>
      </c>
      <c r="F187" s="66">
        <f>_xlfn.XLOOKUP(CoreValuesResults[[#This Row],[Team Number]],InnovationProjectResults[Team Number],InnovationProjectResults[Communicate 2 (CV)])</f>
        <v>0</v>
      </c>
      <c r="G187" s="66">
        <f>_xlfn.XLOOKUP(CoreValuesResults[[#This Row],[Team Number]],RobotDesignResults[Team Number],RobotDesignResults[Identify 2 (CV)])</f>
        <v>0</v>
      </c>
      <c r="H187" s="66">
        <f>_xlfn.XLOOKUP(CoreValuesResults[[#This Row],[Team Number]],RobotDesignResults[Team Number],RobotDesignResults[Iterate 3 (CV)])</f>
        <v>0</v>
      </c>
      <c r="I187" s="66">
        <f>_xlfn.XLOOKUP(CoreValuesResults[[#This Row],[Team Number]],RobotDesignResults[Team Number],RobotDesignResults[Communicate 1 (CV)])</f>
        <v>0</v>
      </c>
      <c r="J187" s="66">
        <f>_xlfn.XLOOKUP(CoreValuesResults[[#This Row],[Team Number]],RobotDesignResults[Team Number],RobotDesignResults[Communicate 2 (CV)])</f>
        <v>0</v>
      </c>
      <c r="K187" s="12"/>
      <c r="L187" s="12"/>
      <c r="M187" s="12"/>
      <c r="N187" s="12"/>
      <c r="O187" s="12"/>
      <c r="P187" s="12"/>
      <c r="Q187" s="8" t="str">
        <f>IF(CoreValuesResults[[#This Row],[Gracious Professionalism 1]]="","",COUNTIF(CoreValuesResults[[#This Row],[Gracious Professionalism 1]:[Gracious Professionalism 5]],""))</f>
        <v/>
      </c>
      <c r="R187" s="8" t="str">
        <f>IF(CoreValuesResults[[#This Row],[Gracious Professionalism 1]]="","",SUM(CoreValuesResults[[#This Row],[Gracious Professionalism 1]:[Gracious Professionalism 5]]))</f>
        <v/>
      </c>
      <c r="S187"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87" s="36">
        <f>SUM(CoreValuesResults[[#This Row],[Project CV 1 - EXPLORE]:[Engineering CV 4 - COMMUNINCATE]],CoreValuesResults[[#This Row],[Gracious Professionalism Score]])</f>
        <v>0</v>
      </c>
      <c r="U187" s="21">
        <f>IF(CoreValuesResults[[#This Row],[Team Number]]&gt;0,MIN(_xlfn.RANK.EQ(CoreValuesResults[[#This Row],[Core Values Score]],CoreValuesResults[Core Values Score],0),NumberOfTeams),NumberOfTeams+1)</f>
        <v>9</v>
      </c>
      <c r="V187" s="35"/>
      <c r="W187" s="35"/>
    </row>
    <row r="188" spans="1:23" ht="30" customHeight="1" x14ac:dyDescent="0.25">
      <c r="A188" s="8">
        <f>_xlfn.XLOOKUP(187,OfficialTeamList[Row],OfficialTeamList[Team Number],"ERROR",0)</f>
        <v>0</v>
      </c>
      <c r="B188" s="20" t="str">
        <f>_xlfn.XLOOKUP(CoreValuesResults[[#This Row],[Team Number]],OfficialTeamList[Team Number],OfficialTeamList[Team Name],"",0,)</f>
        <v/>
      </c>
      <c r="C188" s="66">
        <f>_xlfn.XLOOKUP(CoreValuesResults[[#This Row],[Team Number]],InnovationProjectResults[Team Number],InnovationProjectResults[Explore 2 (CV)])</f>
        <v>0</v>
      </c>
      <c r="D188" s="66">
        <f>_xlfn.XLOOKUP(CoreValuesResults[[#This Row],[Team Number]],InnovationProjectResults[Team Number],InnovationProjectResults[Ideate 3 (CV)])</f>
        <v>0</v>
      </c>
      <c r="E188" s="66">
        <f>_xlfn.XLOOKUP(CoreValuesResults[[#This Row],[Team Number]],InnovationProjectResults[Team Number],InnovationProjectResults[Implement 1 (CV)])</f>
        <v>0</v>
      </c>
      <c r="F188" s="66">
        <f>_xlfn.XLOOKUP(CoreValuesResults[[#This Row],[Team Number]],InnovationProjectResults[Team Number],InnovationProjectResults[Communicate 2 (CV)])</f>
        <v>0</v>
      </c>
      <c r="G188" s="66">
        <f>_xlfn.XLOOKUP(CoreValuesResults[[#This Row],[Team Number]],RobotDesignResults[Team Number],RobotDesignResults[Identify 2 (CV)])</f>
        <v>0</v>
      </c>
      <c r="H188" s="66">
        <f>_xlfn.XLOOKUP(CoreValuesResults[[#This Row],[Team Number]],RobotDesignResults[Team Number],RobotDesignResults[Iterate 3 (CV)])</f>
        <v>0</v>
      </c>
      <c r="I188" s="66">
        <f>_xlfn.XLOOKUP(CoreValuesResults[[#This Row],[Team Number]],RobotDesignResults[Team Number],RobotDesignResults[Communicate 1 (CV)])</f>
        <v>0</v>
      </c>
      <c r="J188" s="66">
        <f>_xlfn.XLOOKUP(CoreValuesResults[[#This Row],[Team Number]],RobotDesignResults[Team Number],RobotDesignResults[Communicate 2 (CV)])</f>
        <v>0</v>
      </c>
      <c r="K188" s="12"/>
      <c r="L188" s="12"/>
      <c r="M188" s="12"/>
      <c r="N188" s="12"/>
      <c r="O188" s="12"/>
      <c r="P188" s="12"/>
      <c r="Q188" s="8" t="str">
        <f>IF(CoreValuesResults[[#This Row],[Gracious Professionalism 1]]="","",COUNTIF(CoreValuesResults[[#This Row],[Gracious Professionalism 1]:[Gracious Professionalism 5]],""))</f>
        <v/>
      </c>
      <c r="R188" s="8" t="str">
        <f>IF(CoreValuesResults[[#This Row],[Gracious Professionalism 1]]="","",SUM(CoreValuesResults[[#This Row],[Gracious Professionalism 1]:[Gracious Professionalism 5]]))</f>
        <v/>
      </c>
      <c r="S188"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88" s="36">
        <f>SUM(CoreValuesResults[[#This Row],[Project CV 1 - EXPLORE]:[Engineering CV 4 - COMMUNINCATE]],CoreValuesResults[[#This Row],[Gracious Professionalism Score]])</f>
        <v>0</v>
      </c>
      <c r="U188" s="21">
        <f>IF(CoreValuesResults[[#This Row],[Team Number]]&gt;0,MIN(_xlfn.RANK.EQ(CoreValuesResults[[#This Row],[Core Values Score]],CoreValuesResults[Core Values Score],0),NumberOfTeams),NumberOfTeams+1)</f>
        <v>9</v>
      </c>
      <c r="V188" s="35"/>
      <c r="W188" s="35"/>
    </row>
    <row r="189" spans="1:23" ht="30" customHeight="1" x14ac:dyDescent="0.25">
      <c r="A189" s="8">
        <f>_xlfn.XLOOKUP(188,OfficialTeamList[Row],OfficialTeamList[Team Number],"ERROR",0)</f>
        <v>0</v>
      </c>
      <c r="B189" s="20" t="str">
        <f>_xlfn.XLOOKUP(CoreValuesResults[[#This Row],[Team Number]],OfficialTeamList[Team Number],OfficialTeamList[Team Name],"",0,)</f>
        <v/>
      </c>
      <c r="C189" s="66">
        <f>_xlfn.XLOOKUP(CoreValuesResults[[#This Row],[Team Number]],InnovationProjectResults[Team Number],InnovationProjectResults[Explore 2 (CV)])</f>
        <v>0</v>
      </c>
      <c r="D189" s="66">
        <f>_xlfn.XLOOKUP(CoreValuesResults[[#This Row],[Team Number]],InnovationProjectResults[Team Number],InnovationProjectResults[Ideate 3 (CV)])</f>
        <v>0</v>
      </c>
      <c r="E189" s="66">
        <f>_xlfn.XLOOKUP(CoreValuesResults[[#This Row],[Team Number]],InnovationProjectResults[Team Number],InnovationProjectResults[Implement 1 (CV)])</f>
        <v>0</v>
      </c>
      <c r="F189" s="66">
        <f>_xlfn.XLOOKUP(CoreValuesResults[[#This Row],[Team Number]],InnovationProjectResults[Team Number],InnovationProjectResults[Communicate 2 (CV)])</f>
        <v>0</v>
      </c>
      <c r="G189" s="66">
        <f>_xlfn.XLOOKUP(CoreValuesResults[[#This Row],[Team Number]],RobotDesignResults[Team Number],RobotDesignResults[Identify 2 (CV)])</f>
        <v>0</v>
      </c>
      <c r="H189" s="66">
        <f>_xlfn.XLOOKUP(CoreValuesResults[[#This Row],[Team Number]],RobotDesignResults[Team Number],RobotDesignResults[Iterate 3 (CV)])</f>
        <v>0</v>
      </c>
      <c r="I189" s="66">
        <f>_xlfn.XLOOKUP(CoreValuesResults[[#This Row],[Team Number]],RobotDesignResults[Team Number],RobotDesignResults[Communicate 1 (CV)])</f>
        <v>0</v>
      </c>
      <c r="J189" s="66">
        <f>_xlfn.XLOOKUP(CoreValuesResults[[#This Row],[Team Number]],RobotDesignResults[Team Number],RobotDesignResults[Communicate 2 (CV)])</f>
        <v>0</v>
      </c>
      <c r="K189" s="12"/>
      <c r="L189" s="12"/>
      <c r="M189" s="12"/>
      <c r="N189" s="12"/>
      <c r="O189" s="12"/>
      <c r="P189" s="12"/>
      <c r="Q189" s="8" t="str">
        <f>IF(CoreValuesResults[[#This Row],[Gracious Professionalism 1]]="","",COUNTIF(CoreValuesResults[[#This Row],[Gracious Professionalism 1]:[Gracious Professionalism 5]],""))</f>
        <v/>
      </c>
      <c r="R189" s="8" t="str">
        <f>IF(CoreValuesResults[[#This Row],[Gracious Professionalism 1]]="","",SUM(CoreValuesResults[[#This Row],[Gracious Professionalism 1]:[Gracious Professionalism 5]]))</f>
        <v/>
      </c>
      <c r="S189"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89" s="36">
        <f>SUM(CoreValuesResults[[#This Row],[Project CV 1 - EXPLORE]:[Engineering CV 4 - COMMUNINCATE]],CoreValuesResults[[#This Row],[Gracious Professionalism Score]])</f>
        <v>0</v>
      </c>
      <c r="U189" s="21">
        <f>IF(CoreValuesResults[[#This Row],[Team Number]]&gt;0,MIN(_xlfn.RANK.EQ(CoreValuesResults[[#This Row],[Core Values Score]],CoreValuesResults[Core Values Score],0),NumberOfTeams),NumberOfTeams+1)</f>
        <v>9</v>
      </c>
      <c r="V189" s="35"/>
      <c r="W189" s="35"/>
    </row>
    <row r="190" spans="1:23" ht="30" customHeight="1" x14ac:dyDescent="0.25">
      <c r="A190" s="8">
        <f>_xlfn.XLOOKUP(189,OfficialTeamList[Row],OfficialTeamList[Team Number],"ERROR",0)</f>
        <v>0</v>
      </c>
      <c r="B190" s="20" t="str">
        <f>_xlfn.XLOOKUP(CoreValuesResults[[#This Row],[Team Number]],OfficialTeamList[Team Number],OfficialTeamList[Team Name],"",0,)</f>
        <v/>
      </c>
      <c r="C190" s="66">
        <f>_xlfn.XLOOKUP(CoreValuesResults[[#This Row],[Team Number]],InnovationProjectResults[Team Number],InnovationProjectResults[Explore 2 (CV)])</f>
        <v>0</v>
      </c>
      <c r="D190" s="66">
        <f>_xlfn.XLOOKUP(CoreValuesResults[[#This Row],[Team Number]],InnovationProjectResults[Team Number],InnovationProjectResults[Ideate 3 (CV)])</f>
        <v>0</v>
      </c>
      <c r="E190" s="66">
        <f>_xlfn.XLOOKUP(CoreValuesResults[[#This Row],[Team Number]],InnovationProjectResults[Team Number],InnovationProjectResults[Implement 1 (CV)])</f>
        <v>0</v>
      </c>
      <c r="F190" s="66">
        <f>_xlfn.XLOOKUP(CoreValuesResults[[#This Row],[Team Number]],InnovationProjectResults[Team Number],InnovationProjectResults[Communicate 2 (CV)])</f>
        <v>0</v>
      </c>
      <c r="G190" s="66">
        <f>_xlfn.XLOOKUP(CoreValuesResults[[#This Row],[Team Number]],RobotDesignResults[Team Number],RobotDesignResults[Identify 2 (CV)])</f>
        <v>0</v>
      </c>
      <c r="H190" s="66">
        <f>_xlfn.XLOOKUP(CoreValuesResults[[#This Row],[Team Number]],RobotDesignResults[Team Number],RobotDesignResults[Iterate 3 (CV)])</f>
        <v>0</v>
      </c>
      <c r="I190" s="66">
        <f>_xlfn.XLOOKUP(CoreValuesResults[[#This Row],[Team Number]],RobotDesignResults[Team Number],RobotDesignResults[Communicate 1 (CV)])</f>
        <v>0</v>
      </c>
      <c r="J190" s="66">
        <f>_xlfn.XLOOKUP(CoreValuesResults[[#This Row],[Team Number]],RobotDesignResults[Team Number],RobotDesignResults[Communicate 2 (CV)])</f>
        <v>0</v>
      </c>
      <c r="K190" s="12"/>
      <c r="L190" s="12"/>
      <c r="M190" s="12"/>
      <c r="N190" s="12"/>
      <c r="O190" s="12"/>
      <c r="P190" s="12"/>
      <c r="Q190" s="8" t="str">
        <f>IF(CoreValuesResults[[#This Row],[Gracious Professionalism 1]]="","",COUNTIF(CoreValuesResults[[#This Row],[Gracious Professionalism 1]:[Gracious Professionalism 5]],""))</f>
        <v/>
      </c>
      <c r="R190" s="8" t="str">
        <f>IF(CoreValuesResults[[#This Row],[Gracious Professionalism 1]]="","",SUM(CoreValuesResults[[#This Row],[Gracious Professionalism 1]:[Gracious Professionalism 5]]))</f>
        <v/>
      </c>
      <c r="S190"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90" s="36">
        <f>SUM(CoreValuesResults[[#This Row],[Project CV 1 - EXPLORE]:[Engineering CV 4 - COMMUNINCATE]],CoreValuesResults[[#This Row],[Gracious Professionalism Score]])</f>
        <v>0</v>
      </c>
      <c r="U190" s="21">
        <f>IF(CoreValuesResults[[#This Row],[Team Number]]&gt;0,MIN(_xlfn.RANK.EQ(CoreValuesResults[[#This Row],[Core Values Score]],CoreValuesResults[Core Values Score],0),NumberOfTeams),NumberOfTeams+1)</f>
        <v>9</v>
      </c>
      <c r="V190" s="35"/>
      <c r="W190" s="35"/>
    </row>
    <row r="191" spans="1:23" ht="30" customHeight="1" x14ac:dyDescent="0.25">
      <c r="A191" s="8">
        <f>_xlfn.XLOOKUP(190,OfficialTeamList[Row],OfficialTeamList[Team Number],"ERROR",0)</f>
        <v>0</v>
      </c>
      <c r="B191" s="20" t="str">
        <f>_xlfn.XLOOKUP(CoreValuesResults[[#This Row],[Team Number]],OfficialTeamList[Team Number],OfficialTeamList[Team Name],"",0,)</f>
        <v/>
      </c>
      <c r="C191" s="66">
        <f>_xlfn.XLOOKUP(CoreValuesResults[[#This Row],[Team Number]],InnovationProjectResults[Team Number],InnovationProjectResults[Explore 2 (CV)])</f>
        <v>0</v>
      </c>
      <c r="D191" s="66">
        <f>_xlfn.XLOOKUP(CoreValuesResults[[#This Row],[Team Number]],InnovationProjectResults[Team Number],InnovationProjectResults[Ideate 3 (CV)])</f>
        <v>0</v>
      </c>
      <c r="E191" s="66">
        <f>_xlfn.XLOOKUP(CoreValuesResults[[#This Row],[Team Number]],InnovationProjectResults[Team Number],InnovationProjectResults[Implement 1 (CV)])</f>
        <v>0</v>
      </c>
      <c r="F191" s="66">
        <f>_xlfn.XLOOKUP(CoreValuesResults[[#This Row],[Team Number]],InnovationProjectResults[Team Number],InnovationProjectResults[Communicate 2 (CV)])</f>
        <v>0</v>
      </c>
      <c r="G191" s="66">
        <f>_xlfn.XLOOKUP(CoreValuesResults[[#This Row],[Team Number]],RobotDesignResults[Team Number],RobotDesignResults[Identify 2 (CV)])</f>
        <v>0</v>
      </c>
      <c r="H191" s="66">
        <f>_xlfn.XLOOKUP(CoreValuesResults[[#This Row],[Team Number]],RobotDesignResults[Team Number],RobotDesignResults[Iterate 3 (CV)])</f>
        <v>0</v>
      </c>
      <c r="I191" s="66">
        <f>_xlfn.XLOOKUP(CoreValuesResults[[#This Row],[Team Number]],RobotDesignResults[Team Number],RobotDesignResults[Communicate 1 (CV)])</f>
        <v>0</v>
      </c>
      <c r="J191" s="66">
        <f>_xlfn.XLOOKUP(CoreValuesResults[[#This Row],[Team Number]],RobotDesignResults[Team Number],RobotDesignResults[Communicate 2 (CV)])</f>
        <v>0</v>
      </c>
      <c r="K191" s="12"/>
      <c r="L191" s="12"/>
      <c r="M191" s="12"/>
      <c r="N191" s="12"/>
      <c r="O191" s="12"/>
      <c r="P191" s="12"/>
      <c r="Q191" s="8" t="str">
        <f>IF(CoreValuesResults[[#This Row],[Gracious Professionalism 1]]="","",COUNTIF(CoreValuesResults[[#This Row],[Gracious Professionalism 1]:[Gracious Professionalism 5]],""))</f>
        <v/>
      </c>
      <c r="R191" s="8" t="str">
        <f>IF(CoreValuesResults[[#This Row],[Gracious Professionalism 1]]="","",SUM(CoreValuesResults[[#This Row],[Gracious Professionalism 1]:[Gracious Professionalism 5]]))</f>
        <v/>
      </c>
      <c r="S191"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91" s="36">
        <f>SUM(CoreValuesResults[[#This Row],[Project CV 1 - EXPLORE]:[Engineering CV 4 - COMMUNINCATE]],CoreValuesResults[[#This Row],[Gracious Professionalism Score]])</f>
        <v>0</v>
      </c>
      <c r="U191" s="21">
        <f>IF(CoreValuesResults[[#This Row],[Team Number]]&gt;0,MIN(_xlfn.RANK.EQ(CoreValuesResults[[#This Row],[Core Values Score]],CoreValuesResults[Core Values Score],0),NumberOfTeams),NumberOfTeams+1)</f>
        <v>9</v>
      </c>
      <c r="V191" s="35"/>
      <c r="W191" s="35"/>
    </row>
    <row r="192" spans="1:23" ht="30" customHeight="1" x14ac:dyDescent="0.25">
      <c r="A192" s="8">
        <f>_xlfn.XLOOKUP(191,OfficialTeamList[Row],OfficialTeamList[Team Number],"ERROR",0)</f>
        <v>0</v>
      </c>
      <c r="B192" s="20" t="str">
        <f>_xlfn.XLOOKUP(CoreValuesResults[[#This Row],[Team Number]],OfficialTeamList[Team Number],OfficialTeamList[Team Name],"",0,)</f>
        <v/>
      </c>
      <c r="C192" s="66">
        <f>_xlfn.XLOOKUP(CoreValuesResults[[#This Row],[Team Number]],InnovationProjectResults[Team Number],InnovationProjectResults[Explore 2 (CV)])</f>
        <v>0</v>
      </c>
      <c r="D192" s="66">
        <f>_xlfn.XLOOKUP(CoreValuesResults[[#This Row],[Team Number]],InnovationProjectResults[Team Number],InnovationProjectResults[Ideate 3 (CV)])</f>
        <v>0</v>
      </c>
      <c r="E192" s="66">
        <f>_xlfn.XLOOKUP(CoreValuesResults[[#This Row],[Team Number]],InnovationProjectResults[Team Number],InnovationProjectResults[Implement 1 (CV)])</f>
        <v>0</v>
      </c>
      <c r="F192" s="66">
        <f>_xlfn.XLOOKUP(CoreValuesResults[[#This Row],[Team Number]],InnovationProjectResults[Team Number],InnovationProjectResults[Communicate 2 (CV)])</f>
        <v>0</v>
      </c>
      <c r="G192" s="66">
        <f>_xlfn.XLOOKUP(CoreValuesResults[[#This Row],[Team Number]],RobotDesignResults[Team Number],RobotDesignResults[Identify 2 (CV)])</f>
        <v>0</v>
      </c>
      <c r="H192" s="66">
        <f>_xlfn.XLOOKUP(CoreValuesResults[[#This Row],[Team Number]],RobotDesignResults[Team Number],RobotDesignResults[Iterate 3 (CV)])</f>
        <v>0</v>
      </c>
      <c r="I192" s="66">
        <f>_xlfn.XLOOKUP(CoreValuesResults[[#This Row],[Team Number]],RobotDesignResults[Team Number],RobotDesignResults[Communicate 1 (CV)])</f>
        <v>0</v>
      </c>
      <c r="J192" s="66">
        <f>_xlfn.XLOOKUP(CoreValuesResults[[#This Row],[Team Number]],RobotDesignResults[Team Number],RobotDesignResults[Communicate 2 (CV)])</f>
        <v>0</v>
      </c>
      <c r="K192" s="12"/>
      <c r="L192" s="12"/>
      <c r="M192" s="12"/>
      <c r="N192" s="12"/>
      <c r="O192" s="12"/>
      <c r="P192" s="12"/>
      <c r="Q192" s="8" t="str">
        <f>IF(CoreValuesResults[[#This Row],[Gracious Professionalism 1]]="","",COUNTIF(CoreValuesResults[[#This Row],[Gracious Professionalism 1]:[Gracious Professionalism 5]],""))</f>
        <v/>
      </c>
      <c r="R192" s="8" t="str">
        <f>IF(CoreValuesResults[[#This Row],[Gracious Professionalism 1]]="","",SUM(CoreValuesResults[[#This Row],[Gracious Professionalism 1]:[Gracious Professionalism 5]]))</f>
        <v/>
      </c>
      <c r="S192"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92" s="36">
        <f>SUM(CoreValuesResults[[#This Row],[Project CV 1 - EXPLORE]:[Engineering CV 4 - COMMUNINCATE]],CoreValuesResults[[#This Row],[Gracious Professionalism Score]])</f>
        <v>0</v>
      </c>
      <c r="U192" s="21">
        <f>IF(CoreValuesResults[[#This Row],[Team Number]]&gt;0,MIN(_xlfn.RANK.EQ(CoreValuesResults[[#This Row],[Core Values Score]],CoreValuesResults[Core Values Score],0),NumberOfTeams),NumberOfTeams+1)</f>
        <v>9</v>
      </c>
      <c r="V192" s="35"/>
      <c r="W192" s="35"/>
    </row>
    <row r="193" spans="1:23" ht="30" customHeight="1" x14ac:dyDescent="0.25">
      <c r="A193" s="8">
        <f>_xlfn.XLOOKUP(192,OfficialTeamList[Row],OfficialTeamList[Team Number],"ERROR",0)</f>
        <v>0</v>
      </c>
      <c r="B193" s="20" t="str">
        <f>_xlfn.XLOOKUP(CoreValuesResults[[#This Row],[Team Number]],OfficialTeamList[Team Number],OfficialTeamList[Team Name],"",0,)</f>
        <v/>
      </c>
      <c r="C193" s="66">
        <f>_xlfn.XLOOKUP(CoreValuesResults[[#This Row],[Team Number]],InnovationProjectResults[Team Number],InnovationProjectResults[Explore 2 (CV)])</f>
        <v>0</v>
      </c>
      <c r="D193" s="66">
        <f>_xlfn.XLOOKUP(CoreValuesResults[[#This Row],[Team Number]],InnovationProjectResults[Team Number],InnovationProjectResults[Ideate 3 (CV)])</f>
        <v>0</v>
      </c>
      <c r="E193" s="66">
        <f>_xlfn.XLOOKUP(CoreValuesResults[[#This Row],[Team Number]],InnovationProjectResults[Team Number],InnovationProjectResults[Implement 1 (CV)])</f>
        <v>0</v>
      </c>
      <c r="F193" s="66">
        <f>_xlfn.XLOOKUP(CoreValuesResults[[#This Row],[Team Number]],InnovationProjectResults[Team Number],InnovationProjectResults[Communicate 2 (CV)])</f>
        <v>0</v>
      </c>
      <c r="G193" s="66">
        <f>_xlfn.XLOOKUP(CoreValuesResults[[#This Row],[Team Number]],RobotDesignResults[Team Number],RobotDesignResults[Identify 2 (CV)])</f>
        <v>0</v>
      </c>
      <c r="H193" s="66">
        <f>_xlfn.XLOOKUP(CoreValuesResults[[#This Row],[Team Number]],RobotDesignResults[Team Number],RobotDesignResults[Iterate 3 (CV)])</f>
        <v>0</v>
      </c>
      <c r="I193" s="66">
        <f>_xlfn.XLOOKUP(CoreValuesResults[[#This Row],[Team Number]],RobotDesignResults[Team Number],RobotDesignResults[Communicate 1 (CV)])</f>
        <v>0</v>
      </c>
      <c r="J193" s="66">
        <f>_xlfn.XLOOKUP(CoreValuesResults[[#This Row],[Team Number]],RobotDesignResults[Team Number],RobotDesignResults[Communicate 2 (CV)])</f>
        <v>0</v>
      </c>
      <c r="K193" s="12"/>
      <c r="L193" s="12"/>
      <c r="M193" s="12"/>
      <c r="N193" s="12"/>
      <c r="O193" s="12"/>
      <c r="P193" s="12"/>
      <c r="Q193" s="8" t="str">
        <f>IF(CoreValuesResults[[#This Row],[Gracious Professionalism 1]]="","",COUNTIF(CoreValuesResults[[#This Row],[Gracious Professionalism 1]:[Gracious Professionalism 5]],""))</f>
        <v/>
      </c>
      <c r="R193" s="8" t="str">
        <f>IF(CoreValuesResults[[#This Row],[Gracious Professionalism 1]]="","",SUM(CoreValuesResults[[#This Row],[Gracious Professionalism 1]:[Gracious Professionalism 5]]))</f>
        <v/>
      </c>
      <c r="S193"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93" s="36">
        <f>SUM(CoreValuesResults[[#This Row],[Project CV 1 - EXPLORE]:[Engineering CV 4 - COMMUNINCATE]],CoreValuesResults[[#This Row],[Gracious Professionalism Score]])</f>
        <v>0</v>
      </c>
      <c r="U193" s="21">
        <f>IF(CoreValuesResults[[#This Row],[Team Number]]&gt;0,MIN(_xlfn.RANK.EQ(CoreValuesResults[[#This Row],[Core Values Score]],CoreValuesResults[Core Values Score],0),NumberOfTeams),NumberOfTeams+1)</f>
        <v>9</v>
      </c>
      <c r="V193" s="35"/>
      <c r="W193" s="35"/>
    </row>
    <row r="194" spans="1:23" ht="30" customHeight="1" x14ac:dyDescent="0.25">
      <c r="A194" s="8">
        <f>_xlfn.XLOOKUP(193,OfficialTeamList[Row],OfficialTeamList[Team Number],"ERROR",0)</f>
        <v>0</v>
      </c>
      <c r="B194" s="20" t="str">
        <f>_xlfn.XLOOKUP(CoreValuesResults[[#This Row],[Team Number]],OfficialTeamList[Team Number],OfficialTeamList[Team Name],"",0,)</f>
        <v/>
      </c>
      <c r="C194" s="66">
        <f>_xlfn.XLOOKUP(CoreValuesResults[[#This Row],[Team Number]],InnovationProjectResults[Team Number],InnovationProjectResults[Explore 2 (CV)])</f>
        <v>0</v>
      </c>
      <c r="D194" s="66">
        <f>_xlfn.XLOOKUP(CoreValuesResults[[#This Row],[Team Number]],InnovationProjectResults[Team Number],InnovationProjectResults[Ideate 3 (CV)])</f>
        <v>0</v>
      </c>
      <c r="E194" s="66">
        <f>_xlfn.XLOOKUP(CoreValuesResults[[#This Row],[Team Number]],InnovationProjectResults[Team Number],InnovationProjectResults[Implement 1 (CV)])</f>
        <v>0</v>
      </c>
      <c r="F194" s="66">
        <f>_xlfn.XLOOKUP(CoreValuesResults[[#This Row],[Team Number]],InnovationProjectResults[Team Number],InnovationProjectResults[Communicate 2 (CV)])</f>
        <v>0</v>
      </c>
      <c r="G194" s="66">
        <f>_xlfn.XLOOKUP(CoreValuesResults[[#This Row],[Team Number]],RobotDesignResults[Team Number],RobotDesignResults[Identify 2 (CV)])</f>
        <v>0</v>
      </c>
      <c r="H194" s="66">
        <f>_xlfn.XLOOKUP(CoreValuesResults[[#This Row],[Team Number]],RobotDesignResults[Team Number],RobotDesignResults[Iterate 3 (CV)])</f>
        <v>0</v>
      </c>
      <c r="I194" s="66">
        <f>_xlfn.XLOOKUP(CoreValuesResults[[#This Row],[Team Number]],RobotDesignResults[Team Number],RobotDesignResults[Communicate 1 (CV)])</f>
        <v>0</v>
      </c>
      <c r="J194" s="66">
        <f>_xlfn.XLOOKUP(CoreValuesResults[[#This Row],[Team Number]],RobotDesignResults[Team Number],RobotDesignResults[Communicate 2 (CV)])</f>
        <v>0</v>
      </c>
      <c r="K194" s="12"/>
      <c r="L194" s="12"/>
      <c r="M194" s="12"/>
      <c r="N194" s="12"/>
      <c r="O194" s="12"/>
      <c r="P194" s="12"/>
      <c r="Q194" s="8" t="str">
        <f>IF(CoreValuesResults[[#This Row],[Gracious Professionalism 1]]="","",COUNTIF(CoreValuesResults[[#This Row],[Gracious Professionalism 1]:[Gracious Professionalism 5]],""))</f>
        <v/>
      </c>
      <c r="R194" s="8" t="str">
        <f>IF(CoreValuesResults[[#This Row],[Gracious Professionalism 1]]="","",SUM(CoreValuesResults[[#This Row],[Gracious Professionalism 1]:[Gracious Professionalism 5]]))</f>
        <v/>
      </c>
      <c r="S194"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94" s="36">
        <f>SUM(CoreValuesResults[[#This Row],[Project CV 1 - EXPLORE]:[Engineering CV 4 - COMMUNINCATE]],CoreValuesResults[[#This Row],[Gracious Professionalism Score]])</f>
        <v>0</v>
      </c>
      <c r="U194" s="21">
        <f>IF(CoreValuesResults[[#This Row],[Team Number]]&gt;0,MIN(_xlfn.RANK.EQ(CoreValuesResults[[#This Row],[Core Values Score]],CoreValuesResults[Core Values Score],0),NumberOfTeams),NumberOfTeams+1)</f>
        <v>9</v>
      </c>
      <c r="V194" s="35"/>
      <c r="W194" s="35"/>
    </row>
    <row r="195" spans="1:23" ht="30" customHeight="1" x14ac:dyDescent="0.25">
      <c r="A195" s="8">
        <f>_xlfn.XLOOKUP(194,OfficialTeamList[Row],OfficialTeamList[Team Number],"ERROR",0)</f>
        <v>0</v>
      </c>
      <c r="B195" s="20" t="str">
        <f>_xlfn.XLOOKUP(CoreValuesResults[[#This Row],[Team Number]],OfficialTeamList[Team Number],OfficialTeamList[Team Name],"",0,)</f>
        <v/>
      </c>
      <c r="C195" s="66">
        <f>_xlfn.XLOOKUP(CoreValuesResults[[#This Row],[Team Number]],InnovationProjectResults[Team Number],InnovationProjectResults[Explore 2 (CV)])</f>
        <v>0</v>
      </c>
      <c r="D195" s="66">
        <f>_xlfn.XLOOKUP(CoreValuesResults[[#This Row],[Team Number]],InnovationProjectResults[Team Number],InnovationProjectResults[Ideate 3 (CV)])</f>
        <v>0</v>
      </c>
      <c r="E195" s="66">
        <f>_xlfn.XLOOKUP(CoreValuesResults[[#This Row],[Team Number]],InnovationProjectResults[Team Number],InnovationProjectResults[Implement 1 (CV)])</f>
        <v>0</v>
      </c>
      <c r="F195" s="66">
        <f>_xlfn.XLOOKUP(CoreValuesResults[[#This Row],[Team Number]],InnovationProjectResults[Team Number],InnovationProjectResults[Communicate 2 (CV)])</f>
        <v>0</v>
      </c>
      <c r="G195" s="66">
        <f>_xlfn.XLOOKUP(CoreValuesResults[[#This Row],[Team Number]],RobotDesignResults[Team Number],RobotDesignResults[Identify 2 (CV)])</f>
        <v>0</v>
      </c>
      <c r="H195" s="66">
        <f>_xlfn.XLOOKUP(CoreValuesResults[[#This Row],[Team Number]],RobotDesignResults[Team Number],RobotDesignResults[Iterate 3 (CV)])</f>
        <v>0</v>
      </c>
      <c r="I195" s="66">
        <f>_xlfn.XLOOKUP(CoreValuesResults[[#This Row],[Team Number]],RobotDesignResults[Team Number],RobotDesignResults[Communicate 1 (CV)])</f>
        <v>0</v>
      </c>
      <c r="J195" s="66">
        <f>_xlfn.XLOOKUP(CoreValuesResults[[#This Row],[Team Number]],RobotDesignResults[Team Number],RobotDesignResults[Communicate 2 (CV)])</f>
        <v>0</v>
      </c>
      <c r="K195" s="12"/>
      <c r="L195" s="12"/>
      <c r="M195" s="12"/>
      <c r="N195" s="12"/>
      <c r="O195" s="12"/>
      <c r="P195" s="12"/>
      <c r="Q195" s="8" t="str">
        <f>IF(CoreValuesResults[[#This Row],[Gracious Professionalism 1]]="","",COUNTIF(CoreValuesResults[[#This Row],[Gracious Professionalism 1]:[Gracious Professionalism 5]],""))</f>
        <v/>
      </c>
      <c r="R195" s="8" t="str">
        <f>IF(CoreValuesResults[[#This Row],[Gracious Professionalism 1]]="","",SUM(CoreValuesResults[[#This Row],[Gracious Professionalism 1]:[Gracious Professionalism 5]]))</f>
        <v/>
      </c>
      <c r="S195"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95" s="36">
        <f>SUM(CoreValuesResults[[#This Row],[Project CV 1 - EXPLORE]:[Engineering CV 4 - COMMUNINCATE]],CoreValuesResults[[#This Row],[Gracious Professionalism Score]])</f>
        <v>0</v>
      </c>
      <c r="U195" s="21">
        <f>IF(CoreValuesResults[[#This Row],[Team Number]]&gt;0,MIN(_xlfn.RANK.EQ(CoreValuesResults[[#This Row],[Core Values Score]],CoreValuesResults[Core Values Score],0),NumberOfTeams),NumberOfTeams+1)</f>
        <v>9</v>
      </c>
      <c r="V195" s="35"/>
      <c r="W195" s="35"/>
    </row>
    <row r="196" spans="1:23" ht="30" customHeight="1" x14ac:dyDescent="0.25">
      <c r="A196" s="8">
        <f>_xlfn.XLOOKUP(195,OfficialTeamList[Row],OfficialTeamList[Team Number],"ERROR",0)</f>
        <v>0</v>
      </c>
      <c r="B196" s="20" t="str">
        <f>_xlfn.XLOOKUP(CoreValuesResults[[#This Row],[Team Number]],OfficialTeamList[Team Number],OfficialTeamList[Team Name],"",0,)</f>
        <v/>
      </c>
      <c r="C196" s="66">
        <f>_xlfn.XLOOKUP(CoreValuesResults[[#This Row],[Team Number]],InnovationProjectResults[Team Number],InnovationProjectResults[Explore 2 (CV)])</f>
        <v>0</v>
      </c>
      <c r="D196" s="66">
        <f>_xlfn.XLOOKUP(CoreValuesResults[[#This Row],[Team Number]],InnovationProjectResults[Team Number],InnovationProjectResults[Ideate 3 (CV)])</f>
        <v>0</v>
      </c>
      <c r="E196" s="66">
        <f>_xlfn.XLOOKUP(CoreValuesResults[[#This Row],[Team Number]],InnovationProjectResults[Team Number],InnovationProjectResults[Implement 1 (CV)])</f>
        <v>0</v>
      </c>
      <c r="F196" s="66">
        <f>_xlfn.XLOOKUP(CoreValuesResults[[#This Row],[Team Number]],InnovationProjectResults[Team Number],InnovationProjectResults[Communicate 2 (CV)])</f>
        <v>0</v>
      </c>
      <c r="G196" s="66">
        <f>_xlfn.XLOOKUP(CoreValuesResults[[#This Row],[Team Number]],RobotDesignResults[Team Number],RobotDesignResults[Identify 2 (CV)])</f>
        <v>0</v>
      </c>
      <c r="H196" s="66">
        <f>_xlfn.XLOOKUP(CoreValuesResults[[#This Row],[Team Number]],RobotDesignResults[Team Number],RobotDesignResults[Iterate 3 (CV)])</f>
        <v>0</v>
      </c>
      <c r="I196" s="66">
        <f>_xlfn.XLOOKUP(CoreValuesResults[[#This Row],[Team Number]],RobotDesignResults[Team Number],RobotDesignResults[Communicate 1 (CV)])</f>
        <v>0</v>
      </c>
      <c r="J196" s="66">
        <f>_xlfn.XLOOKUP(CoreValuesResults[[#This Row],[Team Number]],RobotDesignResults[Team Number],RobotDesignResults[Communicate 2 (CV)])</f>
        <v>0</v>
      </c>
      <c r="K196" s="12"/>
      <c r="L196" s="12"/>
      <c r="M196" s="12"/>
      <c r="N196" s="12"/>
      <c r="O196" s="12"/>
      <c r="P196" s="12"/>
      <c r="Q196" s="8" t="str">
        <f>IF(CoreValuesResults[[#This Row],[Gracious Professionalism 1]]="","",COUNTIF(CoreValuesResults[[#This Row],[Gracious Professionalism 1]:[Gracious Professionalism 5]],""))</f>
        <v/>
      </c>
      <c r="R196" s="8" t="str">
        <f>IF(CoreValuesResults[[#This Row],[Gracious Professionalism 1]]="","",SUM(CoreValuesResults[[#This Row],[Gracious Professionalism 1]:[Gracious Professionalism 5]]))</f>
        <v/>
      </c>
      <c r="S196"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96" s="36">
        <f>SUM(CoreValuesResults[[#This Row],[Project CV 1 - EXPLORE]:[Engineering CV 4 - COMMUNINCATE]],CoreValuesResults[[#This Row],[Gracious Professionalism Score]])</f>
        <v>0</v>
      </c>
      <c r="U196" s="21">
        <f>IF(CoreValuesResults[[#This Row],[Team Number]]&gt;0,MIN(_xlfn.RANK.EQ(CoreValuesResults[[#This Row],[Core Values Score]],CoreValuesResults[Core Values Score],0),NumberOfTeams),NumberOfTeams+1)</f>
        <v>9</v>
      </c>
      <c r="V196" s="35"/>
      <c r="W196" s="35"/>
    </row>
    <row r="197" spans="1:23" ht="30" customHeight="1" x14ac:dyDescent="0.25">
      <c r="A197" s="8">
        <f>_xlfn.XLOOKUP(196,OfficialTeamList[Row],OfficialTeamList[Team Number],"ERROR",0)</f>
        <v>0</v>
      </c>
      <c r="B197" s="20" t="str">
        <f>_xlfn.XLOOKUP(CoreValuesResults[[#This Row],[Team Number]],OfficialTeamList[Team Number],OfficialTeamList[Team Name],"",0,)</f>
        <v/>
      </c>
      <c r="C197" s="66">
        <f>_xlfn.XLOOKUP(CoreValuesResults[[#This Row],[Team Number]],InnovationProjectResults[Team Number],InnovationProjectResults[Explore 2 (CV)])</f>
        <v>0</v>
      </c>
      <c r="D197" s="66">
        <f>_xlfn.XLOOKUP(CoreValuesResults[[#This Row],[Team Number]],InnovationProjectResults[Team Number],InnovationProjectResults[Ideate 3 (CV)])</f>
        <v>0</v>
      </c>
      <c r="E197" s="66">
        <f>_xlfn.XLOOKUP(CoreValuesResults[[#This Row],[Team Number]],InnovationProjectResults[Team Number],InnovationProjectResults[Implement 1 (CV)])</f>
        <v>0</v>
      </c>
      <c r="F197" s="66">
        <f>_xlfn.XLOOKUP(CoreValuesResults[[#This Row],[Team Number]],InnovationProjectResults[Team Number],InnovationProjectResults[Communicate 2 (CV)])</f>
        <v>0</v>
      </c>
      <c r="G197" s="66">
        <f>_xlfn.XLOOKUP(CoreValuesResults[[#This Row],[Team Number]],RobotDesignResults[Team Number],RobotDesignResults[Identify 2 (CV)])</f>
        <v>0</v>
      </c>
      <c r="H197" s="66">
        <f>_xlfn.XLOOKUP(CoreValuesResults[[#This Row],[Team Number]],RobotDesignResults[Team Number],RobotDesignResults[Iterate 3 (CV)])</f>
        <v>0</v>
      </c>
      <c r="I197" s="66">
        <f>_xlfn.XLOOKUP(CoreValuesResults[[#This Row],[Team Number]],RobotDesignResults[Team Number],RobotDesignResults[Communicate 1 (CV)])</f>
        <v>0</v>
      </c>
      <c r="J197" s="66">
        <f>_xlfn.XLOOKUP(CoreValuesResults[[#This Row],[Team Number]],RobotDesignResults[Team Number],RobotDesignResults[Communicate 2 (CV)])</f>
        <v>0</v>
      </c>
      <c r="K197" s="12"/>
      <c r="L197" s="12"/>
      <c r="M197" s="12"/>
      <c r="N197" s="12"/>
      <c r="O197" s="12"/>
      <c r="P197" s="12"/>
      <c r="Q197" s="8" t="str">
        <f>IF(CoreValuesResults[[#This Row],[Gracious Professionalism 1]]="","",COUNTIF(CoreValuesResults[[#This Row],[Gracious Professionalism 1]:[Gracious Professionalism 5]],""))</f>
        <v/>
      </c>
      <c r="R197" s="8" t="str">
        <f>IF(CoreValuesResults[[#This Row],[Gracious Professionalism 1]]="","",SUM(CoreValuesResults[[#This Row],[Gracious Professionalism 1]:[Gracious Professionalism 5]]))</f>
        <v/>
      </c>
      <c r="S197"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97" s="36">
        <f>SUM(CoreValuesResults[[#This Row],[Project CV 1 - EXPLORE]:[Engineering CV 4 - COMMUNINCATE]],CoreValuesResults[[#This Row],[Gracious Professionalism Score]])</f>
        <v>0</v>
      </c>
      <c r="U197" s="21">
        <f>IF(CoreValuesResults[[#This Row],[Team Number]]&gt;0,MIN(_xlfn.RANK.EQ(CoreValuesResults[[#This Row],[Core Values Score]],CoreValuesResults[Core Values Score],0),NumberOfTeams),NumberOfTeams+1)</f>
        <v>9</v>
      </c>
      <c r="V197" s="35"/>
      <c r="W197" s="35"/>
    </row>
    <row r="198" spans="1:23" ht="30" customHeight="1" x14ac:dyDescent="0.25">
      <c r="A198" s="8">
        <f>_xlfn.XLOOKUP(197,OfficialTeamList[Row],OfficialTeamList[Team Number],"ERROR",0)</f>
        <v>0</v>
      </c>
      <c r="B198" s="20" t="str">
        <f>_xlfn.XLOOKUP(CoreValuesResults[[#This Row],[Team Number]],OfficialTeamList[Team Number],OfficialTeamList[Team Name],"",0,)</f>
        <v/>
      </c>
      <c r="C198" s="66">
        <f>_xlfn.XLOOKUP(CoreValuesResults[[#This Row],[Team Number]],InnovationProjectResults[Team Number],InnovationProjectResults[Explore 2 (CV)])</f>
        <v>0</v>
      </c>
      <c r="D198" s="66">
        <f>_xlfn.XLOOKUP(CoreValuesResults[[#This Row],[Team Number]],InnovationProjectResults[Team Number],InnovationProjectResults[Ideate 3 (CV)])</f>
        <v>0</v>
      </c>
      <c r="E198" s="66">
        <f>_xlfn.XLOOKUP(CoreValuesResults[[#This Row],[Team Number]],InnovationProjectResults[Team Number],InnovationProjectResults[Implement 1 (CV)])</f>
        <v>0</v>
      </c>
      <c r="F198" s="66">
        <f>_xlfn.XLOOKUP(CoreValuesResults[[#This Row],[Team Number]],InnovationProjectResults[Team Number],InnovationProjectResults[Communicate 2 (CV)])</f>
        <v>0</v>
      </c>
      <c r="G198" s="66">
        <f>_xlfn.XLOOKUP(CoreValuesResults[[#This Row],[Team Number]],RobotDesignResults[Team Number],RobotDesignResults[Identify 2 (CV)])</f>
        <v>0</v>
      </c>
      <c r="H198" s="66">
        <f>_xlfn.XLOOKUP(CoreValuesResults[[#This Row],[Team Number]],RobotDesignResults[Team Number],RobotDesignResults[Iterate 3 (CV)])</f>
        <v>0</v>
      </c>
      <c r="I198" s="66">
        <f>_xlfn.XLOOKUP(CoreValuesResults[[#This Row],[Team Number]],RobotDesignResults[Team Number],RobotDesignResults[Communicate 1 (CV)])</f>
        <v>0</v>
      </c>
      <c r="J198" s="66">
        <f>_xlfn.XLOOKUP(CoreValuesResults[[#This Row],[Team Number]],RobotDesignResults[Team Number],RobotDesignResults[Communicate 2 (CV)])</f>
        <v>0</v>
      </c>
      <c r="K198" s="12"/>
      <c r="L198" s="12"/>
      <c r="M198" s="12"/>
      <c r="N198" s="12"/>
      <c r="O198" s="12"/>
      <c r="P198" s="12"/>
      <c r="Q198" s="8" t="str">
        <f>IF(CoreValuesResults[[#This Row],[Gracious Professionalism 1]]="","",COUNTIF(CoreValuesResults[[#This Row],[Gracious Professionalism 1]:[Gracious Professionalism 5]],""))</f>
        <v/>
      </c>
      <c r="R198" s="8" t="str">
        <f>IF(CoreValuesResults[[#This Row],[Gracious Professionalism 1]]="","",SUM(CoreValuesResults[[#This Row],[Gracious Professionalism 1]:[Gracious Professionalism 5]]))</f>
        <v/>
      </c>
      <c r="S198"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98" s="36">
        <f>SUM(CoreValuesResults[[#This Row],[Project CV 1 - EXPLORE]:[Engineering CV 4 - COMMUNINCATE]],CoreValuesResults[[#This Row],[Gracious Professionalism Score]])</f>
        <v>0</v>
      </c>
      <c r="U198" s="21">
        <f>IF(CoreValuesResults[[#This Row],[Team Number]]&gt;0,MIN(_xlfn.RANK.EQ(CoreValuesResults[[#This Row],[Core Values Score]],CoreValuesResults[Core Values Score],0),NumberOfTeams),NumberOfTeams+1)</f>
        <v>9</v>
      </c>
      <c r="V198" s="35"/>
      <c r="W198" s="35"/>
    </row>
    <row r="199" spans="1:23" ht="30" customHeight="1" x14ac:dyDescent="0.25">
      <c r="A199" s="8">
        <f>_xlfn.XLOOKUP(198,OfficialTeamList[Row],OfficialTeamList[Team Number],"ERROR",0)</f>
        <v>0</v>
      </c>
      <c r="B199" s="20" t="str">
        <f>_xlfn.XLOOKUP(CoreValuesResults[[#This Row],[Team Number]],OfficialTeamList[Team Number],OfficialTeamList[Team Name],"",0,)</f>
        <v/>
      </c>
      <c r="C199" s="66">
        <f>_xlfn.XLOOKUP(CoreValuesResults[[#This Row],[Team Number]],InnovationProjectResults[Team Number],InnovationProjectResults[Explore 2 (CV)])</f>
        <v>0</v>
      </c>
      <c r="D199" s="66">
        <f>_xlfn.XLOOKUP(CoreValuesResults[[#This Row],[Team Number]],InnovationProjectResults[Team Number],InnovationProjectResults[Ideate 3 (CV)])</f>
        <v>0</v>
      </c>
      <c r="E199" s="66">
        <f>_xlfn.XLOOKUP(CoreValuesResults[[#This Row],[Team Number]],InnovationProjectResults[Team Number],InnovationProjectResults[Implement 1 (CV)])</f>
        <v>0</v>
      </c>
      <c r="F199" s="66">
        <f>_xlfn.XLOOKUP(CoreValuesResults[[#This Row],[Team Number]],InnovationProjectResults[Team Number],InnovationProjectResults[Communicate 2 (CV)])</f>
        <v>0</v>
      </c>
      <c r="G199" s="66">
        <f>_xlfn.XLOOKUP(CoreValuesResults[[#This Row],[Team Number]],RobotDesignResults[Team Number],RobotDesignResults[Identify 2 (CV)])</f>
        <v>0</v>
      </c>
      <c r="H199" s="66">
        <f>_xlfn.XLOOKUP(CoreValuesResults[[#This Row],[Team Number]],RobotDesignResults[Team Number],RobotDesignResults[Iterate 3 (CV)])</f>
        <v>0</v>
      </c>
      <c r="I199" s="66">
        <f>_xlfn.XLOOKUP(CoreValuesResults[[#This Row],[Team Number]],RobotDesignResults[Team Number],RobotDesignResults[Communicate 1 (CV)])</f>
        <v>0</v>
      </c>
      <c r="J199" s="66">
        <f>_xlfn.XLOOKUP(CoreValuesResults[[#This Row],[Team Number]],RobotDesignResults[Team Number],RobotDesignResults[Communicate 2 (CV)])</f>
        <v>0</v>
      </c>
      <c r="K199" s="12"/>
      <c r="L199" s="12"/>
      <c r="M199" s="12"/>
      <c r="N199" s="12"/>
      <c r="O199" s="12"/>
      <c r="P199" s="12"/>
      <c r="Q199" s="8" t="str">
        <f>IF(CoreValuesResults[[#This Row],[Gracious Professionalism 1]]="","",COUNTIF(CoreValuesResults[[#This Row],[Gracious Professionalism 1]:[Gracious Professionalism 5]],""))</f>
        <v/>
      </c>
      <c r="R199" s="8" t="str">
        <f>IF(CoreValuesResults[[#This Row],[Gracious Professionalism 1]]="","",SUM(CoreValuesResults[[#This Row],[Gracious Professionalism 1]:[Gracious Professionalism 5]]))</f>
        <v/>
      </c>
      <c r="S199"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99" s="36">
        <f>SUM(CoreValuesResults[[#This Row],[Project CV 1 - EXPLORE]:[Engineering CV 4 - COMMUNINCATE]],CoreValuesResults[[#This Row],[Gracious Professionalism Score]])</f>
        <v>0</v>
      </c>
      <c r="U199" s="21">
        <f>IF(CoreValuesResults[[#This Row],[Team Number]]&gt;0,MIN(_xlfn.RANK.EQ(CoreValuesResults[[#This Row],[Core Values Score]],CoreValuesResults[Core Values Score],0),NumberOfTeams),NumberOfTeams+1)</f>
        <v>9</v>
      </c>
      <c r="V199" s="35"/>
      <c r="W199" s="35"/>
    </row>
    <row r="200" spans="1:23" ht="30" customHeight="1" x14ac:dyDescent="0.25">
      <c r="A200" s="8">
        <f>_xlfn.XLOOKUP(199,OfficialTeamList[Row],OfficialTeamList[Team Number],"ERROR",0)</f>
        <v>0</v>
      </c>
      <c r="B200" s="20" t="str">
        <f>_xlfn.XLOOKUP(CoreValuesResults[[#This Row],[Team Number]],OfficialTeamList[Team Number],OfficialTeamList[Team Name],"",0,)</f>
        <v/>
      </c>
      <c r="C200" s="66">
        <f>_xlfn.XLOOKUP(CoreValuesResults[[#This Row],[Team Number]],InnovationProjectResults[Team Number],InnovationProjectResults[Explore 2 (CV)])</f>
        <v>0</v>
      </c>
      <c r="D200" s="66">
        <f>_xlfn.XLOOKUP(CoreValuesResults[[#This Row],[Team Number]],InnovationProjectResults[Team Number],InnovationProjectResults[Ideate 3 (CV)])</f>
        <v>0</v>
      </c>
      <c r="E200" s="66">
        <f>_xlfn.XLOOKUP(CoreValuesResults[[#This Row],[Team Number]],InnovationProjectResults[Team Number],InnovationProjectResults[Implement 1 (CV)])</f>
        <v>0</v>
      </c>
      <c r="F200" s="66">
        <f>_xlfn.XLOOKUP(CoreValuesResults[[#This Row],[Team Number]],InnovationProjectResults[Team Number],InnovationProjectResults[Communicate 2 (CV)])</f>
        <v>0</v>
      </c>
      <c r="G200" s="66">
        <f>_xlfn.XLOOKUP(CoreValuesResults[[#This Row],[Team Number]],RobotDesignResults[Team Number],RobotDesignResults[Identify 2 (CV)])</f>
        <v>0</v>
      </c>
      <c r="H200" s="66">
        <f>_xlfn.XLOOKUP(CoreValuesResults[[#This Row],[Team Number]],RobotDesignResults[Team Number],RobotDesignResults[Iterate 3 (CV)])</f>
        <v>0</v>
      </c>
      <c r="I200" s="66">
        <f>_xlfn.XLOOKUP(CoreValuesResults[[#This Row],[Team Number]],RobotDesignResults[Team Number],RobotDesignResults[Communicate 1 (CV)])</f>
        <v>0</v>
      </c>
      <c r="J200" s="66">
        <f>_xlfn.XLOOKUP(CoreValuesResults[[#This Row],[Team Number]],RobotDesignResults[Team Number],RobotDesignResults[Communicate 2 (CV)])</f>
        <v>0</v>
      </c>
      <c r="K200" s="12"/>
      <c r="L200" s="12"/>
      <c r="M200" s="12"/>
      <c r="N200" s="12"/>
      <c r="O200" s="12"/>
      <c r="P200" s="12"/>
      <c r="Q200" s="8" t="str">
        <f>IF(CoreValuesResults[[#This Row],[Gracious Professionalism 1]]="","",COUNTIF(CoreValuesResults[[#This Row],[Gracious Professionalism 1]:[Gracious Professionalism 5]],""))</f>
        <v/>
      </c>
      <c r="R200" s="8" t="str">
        <f>IF(CoreValuesResults[[#This Row],[Gracious Professionalism 1]]="","",SUM(CoreValuesResults[[#This Row],[Gracious Professionalism 1]:[Gracious Professionalism 5]]))</f>
        <v/>
      </c>
      <c r="S200"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00" s="36">
        <f>SUM(CoreValuesResults[[#This Row],[Project CV 1 - EXPLORE]:[Engineering CV 4 - COMMUNINCATE]],CoreValuesResults[[#This Row],[Gracious Professionalism Score]])</f>
        <v>0</v>
      </c>
      <c r="U200" s="21">
        <f>IF(CoreValuesResults[[#This Row],[Team Number]]&gt;0,MIN(_xlfn.RANK.EQ(CoreValuesResults[[#This Row],[Core Values Score]],CoreValuesResults[Core Values Score],0),NumberOfTeams),NumberOfTeams+1)</f>
        <v>9</v>
      </c>
      <c r="V200" s="35"/>
      <c r="W200" s="35"/>
    </row>
    <row r="201" spans="1:23" ht="30" customHeight="1" x14ac:dyDescent="0.25">
      <c r="A201" s="8">
        <f>_xlfn.XLOOKUP(200,OfficialTeamList[Row],OfficialTeamList[Team Number],"ERROR",0)</f>
        <v>0</v>
      </c>
      <c r="B201" s="20" t="str">
        <f>_xlfn.XLOOKUP(CoreValuesResults[[#This Row],[Team Number]],OfficialTeamList[Team Number],OfficialTeamList[Team Name],"",0,)</f>
        <v/>
      </c>
      <c r="C201" s="66">
        <f>_xlfn.XLOOKUP(CoreValuesResults[[#This Row],[Team Number]],InnovationProjectResults[Team Number],InnovationProjectResults[Explore 2 (CV)])</f>
        <v>0</v>
      </c>
      <c r="D201" s="66">
        <f>_xlfn.XLOOKUP(CoreValuesResults[[#This Row],[Team Number]],InnovationProjectResults[Team Number],InnovationProjectResults[Ideate 3 (CV)])</f>
        <v>0</v>
      </c>
      <c r="E201" s="66">
        <f>_xlfn.XLOOKUP(CoreValuesResults[[#This Row],[Team Number]],InnovationProjectResults[Team Number],InnovationProjectResults[Implement 1 (CV)])</f>
        <v>0</v>
      </c>
      <c r="F201" s="66">
        <f>_xlfn.XLOOKUP(CoreValuesResults[[#This Row],[Team Number]],InnovationProjectResults[Team Number],InnovationProjectResults[Communicate 2 (CV)])</f>
        <v>0</v>
      </c>
      <c r="G201" s="66">
        <f>_xlfn.XLOOKUP(CoreValuesResults[[#This Row],[Team Number]],RobotDesignResults[Team Number],RobotDesignResults[Identify 2 (CV)])</f>
        <v>0</v>
      </c>
      <c r="H201" s="66">
        <f>_xlfn.XLOOKUP(CoreValuesResults[[#This Row],[Team Number]],RobotDesignResults[Team Number],RobotDesignResults[Iterate 3 (CV)])</f>
        <v>0</v>
      </c>
      <c r="I201" s="66">
        <f>_xlfn.XLOOKUP(CoreValuesResults[[#This Row],[Team Number]],RobotDesignResults[Team Number],RobotDesignResults[Communicate 1 (CV)])</f>
        <v>0</v>
      </c>
      <c r="J201" s="66">
        <f>_xlfn.XLOOKUP(CoreValuesResults[[#This Row],[Team Number]],RobotDesignResults[Team Number],RobotDesignResults[Communicate 2 (CV)])</f>
        <v>0</v>
      </c>
      <c r="K201" s="12"/>
      <c r="L201" s="12"/>
      <c r="M201" s="12"/>
      <c r="N201" s="12"/>
      <c r="O201" s="12"/>
      <c r="P201" s="12"/>
      <c r="Q201" s="8" t="str">
        <f>IF(CoreValuesResults[[#This Row],[Gracious Professionalism 1]]="","",COUNTIF(CoreValuesResults[[#This Row],[Gracious Professionalism 1]:[Gracious Professionalism 5]],""))</f>
        <v/>
      </c>
      <c r="R201" s="8" t="str">
        <f>IF(CoreValuesResults[[#This Row],[Gracious Professionalism 1]]="","",SUM(CoreValuesResults[[#This Row],[Gracious Professionalism 1]:[Gracious Professionalism 5]]))</f>
        <v/>
      </c>
      <c r="S201"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01" s="36">
        <f>SUM(CoreValuesResults[[#This Row],[Project CV 1 - EXPLORE]:[Engineering CV 4 - COMMUNINCATE]],CoreValuesResults[[#This Row],[Gracious Professionalism Score]])</f>
        <v>0</v>
      </c>
      <c r="U201" s="21">
        <f>IF(CoreValuesResults[[#This Row],[Team Number]]&gt;0,MIN(_xlfn.RANK.EQ(CoreValuesResults[[#This Row],[Core Values Score]],CoreValuesResults[Core Values Score],0),NumberOfTeams),NumberOfTeams+1)</f>
        <v>9</v>
      </c>
      <c r="V201" s="35"/>
      <c r="W201" s="35"/>
    </row>
  </sheetData>
  <sheetProtection algorithmName="SHA-512" hashValue="icL19WZNuDTXXwRDyoamlUEu7oA+sGBPSmqvcHG/zNuZGv2BAa0+VvosMDvHMNLbHMfW9Z/LiROApnti3yy7JA==" saltValue="lw6tcQz/HaSWi1lgB4fnIA==" spinCount="100000" sheet="1" objects="1" scenarios="1"/>
  <phoneticPr fontId="27" type="noConversion"/>
  <conditionalFormatting sqref="V2:W201">
    <cfRule type="cellIs" dxfId="0" priority="1" operator="equal">
      <formula>TRUE</formula>
    </cfRule>
  </conditionalFormatting>
  <dataValidations count="2">
    <dataValidation type="whole" allowBlank="1" showErrorMessage="1" error="Only values between 1 and 4 are permitted." prompt="Only values between 1 and 4 are permitted. " sqref="K2:P201" xr:uid="{8A6426AA-ED14-4A0A-B743-0BC21EA4CD26}">
      <formula1>1</formula1>
      <formula2>4</formula2>
    </dataValidation>
    <dataValidation type="list" allowBlank="1" showInputMessage="1" showErrorMessage="1" sqref="V2:W201" xr:uid="{1F6C3871-1D37-49C9-A23E-7AB15897F984}">
      <formula1>"TRUE"</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FF4A6-13B6-4E41-9887-010AF02470AF}">
  <dimension ref="A1:H1"/>
  <sheetViews>
    <sheetView workbookViewId="0"/>
  </sheetViews>
  <sheetFormatPr defaultRowHeight="15" x14ac:dyDescent="0.25"/>
  <sheetData>
    <row r="1" spans="1:8" x14ac:dyDescent="0.25">
      <c r="A1" s="16" t="s">
        <v>48</v>
      </c>
      <c r="B1" s="16" t="s">
        <v>49</v>
      </c>
      <c r="C1" s="16" t="s">
        <v>50</v>
      </c>
      <c r="D1" s="16">
        <v>1</v>
      </c>
      <c r="E1" s="16">
        <v>2</v>
      </c>
      <c r="F1" s="16">
        <v>3</v>
      </c>
      <c r="G1" s="16">
        <v>4</v>
      </c>
      <c r="H1" s="16">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7C4400122EC349ACEA4BBC8F3BAA84" ma:contentTypeVersion="19" ma:contentTypeDescription="Create a new document." ma:contentTypeScope="" ma:versionID="8082a041aaae8d83353a457c5232dad5">
  <xsd:schema xmlns:xsd="http://www.w3.org/2001/XMLSchema" xmlns:xs="http://www.w3.org/2001/XMLSchema" xmlns:p="http://schemas.microsoft.com/office/2006/metadata/properties" xmlns:ns2="13e367c9-b7f8-474d-b565-ddd846dee849" xmlns:ns3="dbc23dfd-dab4-47a2-819e-884cbf30208c" targetNamespace="http://schemas.microsoft.com/office/2006/metadata/properties" ma:root="true" ma:fieldsID="6ed9dd96fd5bf5c71c59270711ec830e" ns2:_="" ns3:_="">
    <xsd:import namespace="13e367c9-b7f8-474d-b565-ddd846dee849"/>
    <xsd:import namespace="dbc23dfd-dab4-47a2-819e-884cbf30208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element ref="ns2:Printed" minOccurs="0"/>
                <xsd:element ref="ns2:Printed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e367c9-b7f8-474d-b565-ddd846dee8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0fa888-949a-464e-a270-b091e030d5a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Printed" ma:index="22" nillable="true" ma:displayName="Printed" ma:default="0" ma:format="Dropdown" ma:internalName="Printed">
      <xsd:simpleType>
        <xsd:restriction base="dms:Boolean"/>
      </xsd:simpleType>
    </xsd:element>
    <xsd:element name="Printed_x003f_" ma:index="23" nillable="true" ma:displayName="Printed-" ma:default="0" ma:format="Dropdown" ma:internalName="Printed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bc23dfd-dab4-47a2-819e-884cbf30208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0044bfe-c3aa-4329-a448-64f4bf605a89}" ma:internalName="TaxCatchAll" ma:showField="CatchAllData" ma:web="dbc23dfd-dab4-47a2-819e-884cbf3020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bc23dfd-dab4-47a2-819e-884cbf30208c" xsi:nil="true"/>
    <lcf76f155ced4ddcb4097134ff3c332f xmlns="13e367c9-b7f8-474d-b565-ddd846dee849">
      <Terms xmlns="http://schemas.microsoft.com/office/infopath/2007/PartnerControls"/>
    </lcf76f155ced4ddcb4097134ff3c332f>
    <Printed_x003f_ xmlns="13e367c9-b7f8-474d-b565-ddd846dee849">false</Printed_x003f_>
    <Printed xmlns="13e367c9-b7f8-474d-b565-ddd846dee849">false</Printed>
  </documentManagement>
</p:properties>
</file>

<file path=customXml/itemProps1.xml><?xml version="1.0" encoding="utf-8"?>
<ds:datastoreItem xmlns:ds="http://schemas.openxmlformats.org/officeDocument/2006/customXml" ds:itemID="{777CE192-4502-4771-BF0D-9496CA80EE06}"/>
</file>

<file path=customXml/itemProps2.xml><?xml version="1.0" encoding="utf-8"?>
<ds:datastoreItem xmlns:ds="http://schemas.openxmlformats.org/officeDocument/2006/customXml" ds:itemID="{42F53518-509D-4746-88D0-511FB0EA25D3}">
  <ds:schemaRefs>
    <ds:schemaRef ds:uri="http://schemas.microsoft.com/sharepoint/v3/contenttype/forms"/>
  </ds:schemaRefs>
</ds:datastoreItem>
</file>

<file path=customXml/itemProps3.xml><?xml version="1.0" encoding="utf-8"?>
<ds:datastoreItem xmlns:ds="http://schemas.openxmlformats.org/officeDocument/2006/customXml" ds:itemID="{9D9C8752-A30F-4228-A171-70975D50B508}">
  <ds:schemaRefs>
    <ds:schemaRef ds:uri="http://schemas.microsoft.com/office/2006/metadata/properties"/>
    <ds:schemaRef ds:uri="http://schemas.microsoft.com/office/infopath/2007/PartnerControls"/>
    <ds:schemaRef ds:uri="0bfdc619-4bd5-4a26-8e37-4be4446dc23a"/>
    <ds:schemaRef ds:uri="7c8aad47-528b-43f4-b615-4953615f0d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Instructions</vt:lpstr>
      <vt:lpstr>Team and Program Information</vt:lpstr>
      <vt:lpstr>Results and Rankings</vt:lpstr>
      <vt:lpstr>Project Input</vt:lpstr>
      <vt:lpstr>Engineering Design Input</vt:lpstr>
      <vt:lpstr>Game Scores</vt:lpstr>
      <vt:lpstr>Game Coopertition Award Rank</vt:lpstr>
      <vt:lpstr>Core Values Input</vt:lpstr>
      <vt:lpstr>GP Scores</vt:lpstr>
      <vt:lpstr>AwardListLookup</vt:lpstr>
      <vt:lpstr>CombinedMatchScore</vt:lpstr>
      <vt:lpstr>MatchTeams</vt:lpstr>
      <vt:lpstr>NumberOfRounds</vt:lpstr>
      <vt:lpstr>NumberOfTeams</vt:lpstr>
      <vt:lpstr>NumberofTeamsAdvancing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FLL</dc:creator>
  <cp:keywords/>
  <dc:description/>
  <cp:lastModifiedBy>Christina Goulette</cp:lastModifiedBy>
  <cp:revision/>
  <dcterms:created xsi:type="dcterms:W3CDTF">2015-06-05T18:17:20Z</dcterms:created>
  <dcterms:modified xsi:type="dcterms:W3CDTF">2026-07-29T17:42:47Z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0x0101009D7C4400122EC349ACEA4BBC8F3BAA84</vt:lpwstr>
  </property>
</Properties>
</file>